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4400" yWindow="-15" windowWidth="14445" windowHeight="14595"/>
  </bookViews>
  <sheets>
    <sheet name="ASR" sheetId="2" r:id="rId1"/>
  </sheets>
  <definedNames>
    <definedName name="_xlnm._FilterDatabase" localSheetId="0" hidden="1">ASR!$C$140:$K$456</definedName>
    <definedName name="_xlnm.Print_Titles" localSheetId="0">ASR!$140:$140</definedName>
    <definedName name="_xlnm.Print_Area" localSheetId="0">ASR!$C$4:$J$76,ASR!$C$82:$J$122,ASR!$C$128:$J$456</definedName>
  </definedNames>
  <calcPr calcId="124519"/>
</workbook>
</file>

<file path=xl/calcChain.xml><?xml version="1.0" encoding="utf-8"?>
<calcChain xmlns="http://schemas.openxmlformats.org/spreadsheetml/2006/main">
  <c r="J412" i="2"/>
  <c r="H427" l="1"/>
  <c r="J427" s="1"/>
  <c r="J451"/>
  <c r="Y109"/>
  <c r="H428" l="1"/>
  <c r="J428" s="1"/>
  <c r="J455"/>
  <c r="Y111" s="1"/>
  <c r="J405"/>
  <c r="Y112" s="1"/>
  <c r="J456"/>
  <c r="H444"/>
  <c r="Y117"/>
  <c r="J342"/>
  <c r="J92"/>
  <c r="J138"/>
  <c r="H411"/>
  <c r="J284"/>
  <c r="H190"/>
  <c r="J145"/>
  <c r="BF145" s="1"/>
  <c r="P145"/>
  <c r="R145"/>
  <c r="T145"/>
  <c r="BE145"/>
  <c r="BG145"/>
  <c r="BH145"/>
  <c r="BI145"/>
  <c r="BK145"/>
  <c r="H175"/>
  <c r="J379"/>
  <c r="J380"/>
  <c r="J355"/>
  <c r="J354"/>
  <c r="J344"/>
  <c r="J345"/>
  <c r="J346"/>
  <c r="J347"/>
  <c r="J348"/>
  <c r="J349"/>
  <c r="J350"/>
  <c r="J351"/>
  <c r="J352"/>
  <c r="J353"/>
  <c r="H249"/>
  <c r="J453"/>
  <c r="J454"/>
  <c r="J452"/>
  <c r="Y108" s="1"/>
  <c r="H409"/>
  <c r="H251"/>
  <c r="H206"/>
  <c r="H331"/>
  <c r="H325"/>
  <c r="H253"/>
  <c r="H415"/>
  <c r="H417" s="1"/>
  <c r="H430"/>
  <c r="H426"/>
  <c r="H434"/>
  <c r="H446"/>
  <c r="H447" s="1"/>
  <c r="H445"/>
  <c r="H448" s="1"/>
  <c r="H375"/>
  <c r="H374"/>
  <c r="H365"/>
  <c r="H329"/>
  <c r="H309"/>
  <c r="H308"/>
  <c r="H306"/>
  <c r="H307"/>
  <c r="H305"/>
  <c r="H300"/>
  <c r="H294"/>
  <c r="H295" s="1"/>
  <c r="H287"/>
  <c r="H266"/>
  <c r="H274"/>
  <c r="H275" s="1"/>
  <c r="H273"/>
  <c r="H272"/>
  <c r="H270"/>
  <c r="H268"/>
  <c r="H262"/>
  <c r="H244"/>
  <c r="H239"/>
  <c r="H225"/>
  <c r="H226" s="1"/>
  <c r="H195"/>
  <c r="H183"/>
  <c r="H201" s="1"/>
  <c r="H200" s="1"/>
  <c r="H179"/>
  <c r="H219" s="1"/>
  <c r="H170"/>
  <c r="H155"/>
  <c r="H156" s="1"/>
  <c r="H144"/>
  <c r="F89"/>
  <c r="E133"/>
  <c r="J91"/>
  <c r="F91"/>
  <c r="H288" l="1"/>
  <c r="BK288" s="1"/>
  <c r="Y116"/>
  <c r="H186"/>
  <c r="H242"/>
  <c r="T242" s="1"/>
  <c r="J450"/>
  <c r="J449" s="1"/>
  <c r="H180"/>
  <c r="T180" s="1"/>
  <c r="H276"/>
  <c r="P276" s="1"/>
  <c r="H310"/>
  <c r="T310" s="1"/>
  <c r="H232"/>
  <c r="J232" s="1"/>
  <c r="H418"/>
  <c r="T418" s="1"/>
  <c r="H419"/>
  <c r="H420" s="1"/>
  <c r="T420" s="1"/>
  <c r="H192"/>
  <c r="H227"/>
  <c r="T227" s="1"/>
  <c r="H152"/>
  <c r="H154" s="1"/>
  <c r="P154" s="1"/>
  <c r="H146"/>
  <c r="R146" s="1"/>
  <c r="J37"/>
  <c r="J36"/>
  <c r="J35"/>
  <c r="T450"/>
  <c r="R450"/>
  <c r="P450"/>
  <c r="BI448"/>
  <c r="BH448"/>
  <c r="BG448"/>
  <c r="BE448"/>
  <c r="T448"/>
  <c r="R448"/>
  <c r="P448"/>
  <c r="BI447"/>
  <c r="BH447"/>
  <c r="BG447"/>
  <c r="BE447"/>
  <c r="T447"/>
  <c r="R447"/>
  <c r="P447"/>
  <c r="BI446"/>
  <c r="BH446"/>
  <c r="BG446"/>
  <c r="BE446"/>
  <c r="T446"/>
  <c r="R446"/>
  <c r="P446"/>
  <c r="BI445"/>
  <c r="BH445"/>
  <c r="BG445"/>
  <c r="BE445"/>
  <c r="T445"/>
  <c r="R445"/>
  <c r="P445"/>
  <c r="BI444"/>
  <c r="BH444"/>
  <c r="BG444"/>
  <c r="BE444"/>
  <c r="T444"/>
  <c r="R444"/>
  <c r="P444"/>
  <c r="BI442"/>
  <c r="BH442"/>
  <c r="BG442"/>
  <c r="BE442"/>
  <c r="T442"/>
  <c r="R442"/>
  <c r="P442"/>
  <c r="BI441"/>
  <c r="BH441"/>
  <c r="BG441"/>
  <c r="BE441"/>
  <c r="T441"/>
  <c r="R441"/>
  <c r="P441"/>
  <c r="BI440"/>
  <c r="BH440"/>
  <c r="BG440"/>
  <c r="BE440"/>
  <c r="T440"/>
  <c r="R440"/>
  <c r="P440"/>
  <c r="BI439"/>
  <c r="BH439"/>
  <c r="BG439"/>
  <c r="BE439"/>
  <c r="T439"/>
  <c r="R439"/>
  <c r="P439"/>
  <c r="BI437"/>
  <c r="BH437"/>
  <c r="BG437"/>
  <c r="BE437"/>
  <c r="T437"/>
  <c r="R437"/>
  <c r="P437"/>
  <c r="BI436"/>
  <c r="BH436"/>
  <c r="BG436"/>
  <c r="BE436"/>
  <c r="T436"/>
  <c r="R436"/>
  <c r="P436"/>
  <c r="BI435"/>
  <c r="BH435"/>
  <c r="BG435"/>
  <c r="BE435"/>
  <c r="T435"/>
  <c r="R435"/>
  <c r="P435"/>
  <c r="BI434"/>
  <c r="BH434"/>
  <c r="BG434"/>
  <c r="BE434"/>
  <c r="T434"/>
  <c r="R434"/>
  <c r="P434"/>
  <c r="BI433"/>
  <c r="BH433"/>
  <c r="BG433"/>
  <c r="BE433"/>
  <c r="T433"/>
  <c r="R433"/>
  <c r="P433"/>
  <c r="BI431"/>
  <c r="BH431"/>
  <c r="BG431"/>
  <c r="BE431"/>
  <c r="T431"/>
  <c r="R431"/>
  <c r="P431"/>
  <c r="BI430"/>
  <c r="BH430"/>
  <c r="BG430"/>
  <c r="BE430"/>
  <c r="T430"/>
  <c r="R430"/>
  <c r="P430"/>
  <c r="BI429"/>
  <c r="BH429"/>
  <c r="BG429"/>
  <c r="BE429"/>
  <c r="T429"/>
  <c r="R429"/>
  <c r="P429"/>
  <c r="BI426"/>
  <c r="BH426"/>
  <c r="BG426"/>
  <c r="BE426"/>
  <c r="T426"/>
  <c r="R426"/>
  <c r="P426"/>
  <c r="BI425"/>
  <c r="BH425"/>
  <c r="BG425"/>
  <c r="BE425"/>
  <c r="T425"/>
  <c r="R425"/>
  <c r="P425"/>
  <c r="BI423"/>
  <c r="BH423"/>
  <c r="BG423"/>
  <c r="BE423"/>
  <c r="T423"/>
  <c r="R423"/>
  <c r="P423"/>
  <c r="BI422"/>
  <c r="BH422"/>
  <c r="BG422"/>
  <c r="BE422"/>
  <c r="T422"/>
  <c r="R422"/>
  <c r="P422"/>
  <c r="BI421"/>
  <c r="BH421"/>
  <c r="BG421"/>
  <c r="BE421"/>
  <c r="T421"/>
  <c r="R421"/>
  <c r="P421"/>
  <c r="BI420"/>
  <c r="BH420"/>
  <c r="BG420"/>
  <c r="BE420"/>
  <c r="BI419"/>
  <c r="BH419"/>
  <c r="BG419"/>
  <c r="BE419"/>
  <c r="BI418"/>
  <c r="BH418"/>
  <c r="BG418"/>
  <c r="BE418"/>
  <c r="BI417"/>
  <c r="BH417"/>
  <c r="BG417"/>
  <c r="BE417"/>
  <c r="T417"/>
  <c r="R417"/>
  <c r="P417"/>
  <c r="BI416"/>
  <c r="BH416"/>
  <c r="BG416"/>
  <c r="BE416"/>
  <c r="T416"/>
  <c r="R416"/>
  <c r="P416"/>
  <c r="BI415"/>
  <c r="BH415"/>
  <c r="BG415"/>
  <c r="BE415"/>
  <c r="T415"/>
  <c r="R415"/>
  <c r="P415"/>
  <c r="BI413"/>
  <c r="BH413"/>
  <c r="BG413"/>
  <c r="BE413"/>
  <c r="T413"/>
  <c r="R413"/>
  <c r="P413"/>
  <c r="BI411"/>
  <c r="BH411"/>
  <c r="BG411"/>
  <c r="BE411"/>
  <c r="T411"/>
  <c r="R411"/>
  <c r="P411"/>
  <c r="BI410"/>
  <c r="BH410"/>
  <c r="BG410"/>
  <c r="BE410"/>
  <c r="T410"/>
  <c r="R410"/>
  <c r="P410"/>
  <c r="BI409"/>
  <c r="BH409"/>
  <c r="BG409"/>
  <c r="BE409"/>
  <c r="T409"/>
  <c r="R409"/>
  <c r="P409"/>
  <c r="BI408"/>
  <c r="BH408"/>
  <c r="BG408"/>
  <c r="BE408"/>
  <c r="T408"/>
  <c r="R408"/>
  <c r="P408"/>
  <c r="BI406"/>
  <c r="BH406"/>
  <c r="BG406"/>
  <c r="BE406"/>
  <c r="T406"/>
  <c r="R406"/>
  <c r="P406"/>
  <c r="BI404"/>
  <c r="BH404"/>
  <c r="BG404"/>
  <c r="BE404"/>
  <c r="T404"/>
  <c r="R404"/>
  <c r="P404"/>
  <c r="BI403"/>
  <c r="BH403"/>
  <c r="BG403"/>
  <c r="BE403"/>
  <c r="T403"/>
  <c r="R403"/>
  <c r="P403"/>
  <c r="BI402"/>
  <c r="BH402"/>
  <c r="BG402"/>
  <c r="BE402"/>
  <c r="T402"/>
  <c r="R402"/>
  <c r="P402"/>
  <c r="BI401"/>
  <c r="BH401"/>
  <c r="BG401"/>
  <c r="BE401"/>
  <c r="T401"/>
  <c r="R401"/>
  <c r="P401"/>
  <c r="BI400"/>
  <c r="BH400"/>
  <c r="BG400"/>
  <c r="BE400"/>
  <c r="T400"/>
  <c r="R400"/>
  <c r="P400"/>
  <c r="BI399"/>
  <c r="BH399"/>
  <c r="BG399"/>
  <c r="BE399"/>
  <c r="T399"/>
  <c r="R399"/>
  <c r="P399"/>
  <c r="BI398"/>
  <c r="BH398"/>
  <c r="BG398"/>
  <c r="BE398"/>
  <c r="T398"/>
  <c r="R398"/>
  <c r="P398"/>
  <c r="BI397"/>
  <c r="BH397"/>
  <c r="BG397"/>
  <c r="BE397"/>
  <c r="T397"/>
  <c r="R397"/>
  <c r="P397"/>
  <c r="BI396"/>
  <c r="BH396"/>
  <c r="BG396"/>
  <c r="BE396"/>
  <c r="T396"/>
  <c r="R396"/>
  <c r="P396"/>
  <c r="BI395"/>
  <c r="BH395"/>
  <c r="BG395"/>
  <c r="BE395"/>
  <c r="T395"/>
  <c r="R395"/>
  <c r="P395"/>
  <c r="BI394"/>
  <c r="BH394"/>
  <c r="BG394"/>
  <c r="BE394"/>
  <c r="T394"/>
  <c r="R394"/>
  <c r="P394"/>
  <c r="BI393"/>
  <c r="BH393"/>
  <c r="BG393"/>
  <c r="BE393"/>
  <c r="T393"/>
  <c r="R393"/>
  <c r="P393"/>
  <c r="BI392"/>
  <c r="BH392"/>
  <c r="BG392"/>
  <c r="BE392"/>
  <c r="T392"/>
  <c r="R392"/>
  <c r="P392"/>
  <c r="BI391"/>
  <c r="BH391"/>
  <c r="BG391"/>
  <c r="BE391"/>
  <c r="T391"/>
  <c r="R391"/>
  <c r="P391"/>
  <c r="BI390"/>
  <c r="BH390"/>
  <c r="BG390"/>
  <c r="BE390"/>
  <c r="T390"/>
  <c r="R390"/>
  <c r="P390"/>
  <c r="BI389"/>
  <c r="BH389"/>
  <c r="BG389"/>
  <c r="BE389"/>
  <c r="T389"/>
  <c r="R389"/>
  <c r="P389"/>
  <c r="BI388"/>
  <c r="BH388"/>
  <c r="BG388"/>
  <c r="BE388"/>
  <c r="T388"/>
  <c r="R388"/>
  <c r="P388"/>
  <c r="BI387"/>
  <c r="BH387"/>
  <c r="BG387"/>
  <c r="BE387"/>
  <c r="T387"/>
  <c r="R387"/>
  <c r="P387"/>
  <c r="BI386"/>
  <c r="BH386"/>
  <c r="BG386"/>
  <c r="BE386"/>
  <c r="T386"/>
  <c r="R386"/>
  <c r="P386"/>
  <c r="BI385"/>
  <c r="BH385"/>
  <c r="BG385"/>
  <c r="BE385"/>
  <c r="T385"/>
  <c r="R385"/>
  <c r="P385"/>
  <c r="BI384"/>
  <c r="BH384"/>
  <c r="BG384"/>
  <c r="BE384"/>
  <c r="T384"/>
  <c r="R384"/>
  <c r="P384"/>
  <c r="BI383"/>
  <c r="BH383"/>
  <c r="BG383"/>
  <c r="BE383"/>
  <c r="T383"/>
  <c r="R383"/>
  <c r="P383"/>
  <c r="BI382"/>
  <c r="BH382"/>
  <c r="BG382"/>
  <c r="BE382"/>
  <c r="T382"/>
  <c r="R382"/>
  <c r="P382"/>
  <c r="BI381"/>
  <c r="BH381"/>
  <c r="BG381"/>
  <c r="BE381"/>
  <c r="T381"/>
  <c r="R381"/>
  <c r="P381"/>
  <c r="BI378"/>
  <c r="BH378"/>
  <c r="BG378"/>
  <c r="BE378"/>
  <c r="T378"/>
  <c r="R378"/>
  <c r="P378"/>
  <c r="BI377"/>
  <c r="BH377"/>
  <c r="BG377"/>
  <c r="BE377"/>
  <c r="T377"/>
  <c r="R377"/>
  <c r="P377"/>
  <c r="BI376"/>
  <c r="BH376"/>
  <c r="BG376"/>
  <c r="BE376"/>
  <c r="T376"/>
  <c r="R376"/>
  <c r="P376"/>
  <c r="BI375"/>
  <c r="BH375"/>
  <c r="BG375"/>
  <c r="BE375"/>
  <c r="T375"/>
  <c r="R375"/>
  <c r="P375"/>
  <c r="BI374"/>
  <c r="BH374"/>
  <c r="BG374"/>
  <c r="BE374"/>
  <c r="T374"/>
  <c r="R374"/>
  <c r="P374"/>
  <c r="BI373"/>
  <c r="BH373"/>
  <c r="BG373"/>
  <c r="BE373"/>
  <c r="T373"/>
  <c r="R373"/>
  <c r="P373"/>
  <c r="BI372"/>
  <c r="BH372"/>
  <c r="BG372"/>
  <c r="BE372"/>
  <c r="T372"/>
  <c r="R372"/>
  <c r="P372"/>
  <c r="BI371"/>
  <c r="BH371"/>
  <c r="BG371"/>
  <c r="BE371"/>
  <c r="T371"/>
  <c r="R371"/>
  <c r="P371"/>
  <c r="BI370"/>
  <c r="BH370"/>
  <c r="BG370"/>
  <c r="BE370"/>
  <c r="T370"/>
  <c r="R370"/>
  <c r="P370"/>
  <c r="BI369"/>
  <c r="BH369"/>
  <c r="BG369"/>
  <c r="BE369"/>
  <c r="T369"/>
  <c r="R369"/>
  <c r="P369"/>
  <c r="BI368"/>
  <c r="BH368"/>
  <c r="BG368"/>
  <c r="BE368"/>
  <c r="T368"/>
  <c r="R368"/>
  <c r="P368"/>
  <c r="BI367"/>
  <c r="BH367"/>
  <c r="BG367"/>
  <c r="BE367"/>
  <c r="T367"/>
  <c r="R367"/>
  <c r="P367"/>
  <c r="BI366"/>
  <c r="BH366"/>
  <c r="BG366"/>
  <c r="BE366"/>
  <c r="T366"/>
  <c r="R366"/>
  <c r="P366"/>
  <c r="BI365"/>
  <c r="BH365"/>
  <c r="BG365"/>
  <c r="BE365"/>
  <c r="T365"/>
  <c r="R365"/>
  <c r="P365"/>
  <c r="BI364"/>
  <c r="BH364"/>
  <c r="BG364"/>
  <c r="BE364"/>
  <c r="T364"/>
  <c r="R364"/>
  <c r="P364"/>
  <c r="BI363"/>
  <c r="BH363"/>
  <c r="BG363"/>
  <c r="BE363"/>
  <c r="T363"/>
  <c r="R363"/>
  <c r="P363"/>
  <c r="BI362"/>
  <c r="BH362"/>
  <c r="BG362"/>
  <c r="BE362"/>
  <c r="T362"/>
  <c r="R362"/>
  <c r="P362"/>
  <c r="BI361"/>
  <c r="BH361"/>
  <c r="BG361"/>
  <c r="BE361"/>
  <c r="T361"/>
  <c r="R361"/>
  <c r="P361"/>
  <c r="BI360"/>
  <c r="BH360"/>
  <c r="BG360"/>
  <c r="BE360"/>
  <c r="T360"/>
  <c r="R360"/>
  <c r="P360"/>
  <c r="BI359"/>
  <c r="BH359"/>
  <c r="BG359"/>
  <c r="BE359"/>
  <c r="T359"/>
  <c r="R359"/>
  <c r="P359"/>
  <c r="BI358"/>
  <c r="BH358"/>
  <c r="BG358"/>
  <c r="BE358"/>
  <c r="T358"/>
  <c r="R358"/>
  <c r="P358"/>
  <c r="BI356"/>
  <c r="BH356"/>
  <c r="BG356"/>
  <c r="BE356"/>
  <c r="T356"/>
  <c r="R356"/>
  <c r="P356"/>
  <c r="BI355"/>
  <c r="BH355"/>
  <c r="BG355"/>
  <c r="BE355"/>
  <c r="T355"/>
  <c r="R355"/>
  <c r="P355"/>
  <c r="BI344"/>
  <c r="BH344"/>
  <c r="BG344"/>
  <c r="BE344"/>
  <c r="T344"/>
  <c r="R344"/>
  <c r="P344"/>
  <c r="BI343"/>
  <c r="BH343"/>
  <c r="BG343"/>
  <c r="BE343"/>
  <c r="T343"/>
  <c r="R343"/>
  <c r="P343"/>
  <c r="BI341"/>
  <c r="BH341"/>
  <c r="BG341"/>
  <c r="BE341"/>
  <c r="T341"/>
  <c r="R341"/>
  <c r="P341"/>
  <c r="BI340"/>
  <c r="BH340"/>
  <c r="BG340"/>
  <c r="BE340"/>
  <c r="T340"/>
  <c r="R340"/>
  <c r="P340"/>
  <c r="BI339"/>
  <c r="BH339"/>
  <c r="BG339"/>
  <c r="BE339"/>
  <c r="T339"/>
  <c r="R339"/>
  <c r="P339"/>
  <c r="BI338"/>
  <c r="BH338"/>
  <c r="BG338"/>
  <c r="BE338"/>
  <c r="T338"/>
  <c r="R338"/>
  <c r="P338"/>
  <c r="BI337"/>
  <c r="BH337"/>
  <c r="BG337"/>
  <c r="BE337"/>
  <c r="T337"/>
  <c r="R337"/>
  <c r="P337"/>
  <c r="BI336"/>
  <c r="BH336"/>
  <c r="BG336"/>
  <c r="BE336"/>
  <c r="T336"/>
  <c r="R336"/>
  <c r="P336"/>
  <c r="BI335"/>
  <c r="BH335"/>
  <c r="BG335"/>
  <c r="BE335"/>
  <c r="T335"/>
  <c r="R335"/>
  <c r="P335"/>
  <c r="BI334"/>
  <c r="BH334"/>
  <c r="BG334"/>
  <c r="BE334"/>
  <c r="T334"/>
  <c r="R334"/>
  <c r="P334"/>
  <c r="BI333"/>
  <c r="BH333"/>
  <c r="BG333"/>
  <c r="BE333"/>
  <c r="T333"/>
  <c r="R333"/>
  <c r="P333"/>
  <c r="BI332"/>
  <c r="BH332"/>
  <c r="BG332"/>
  <c r="BE332"/>
  <c r="T332"/>
  <c r="R332"/>
  <c r="P332"/>
  <c r="BI331"/>
  <c r="BH331"/>
  <c r="BG331"/>
  <c r="BE331"/>
  <c r="T331"/>
  <c r="R331"/>
  <c r="P331"/>
  <c r="BI330"/>
  <c r="BH330"/>
  <c r="BG330"/>
  <c r="BE330"/>
  <c r="T330"/>
  <c r="R330"/>
  <c r="P330"/>
  <c r="BI329"/>
  <c r="BH329"/>
  <c r="BG329"/>
  <c r="BE329"/>
  <c r="T329"/>
  <c r="R329"/>
  <c r="P329"/>
  <c r="BI328"/>
  <c r="BH328"/>
  <c r="BG328"/>
  <c r="BE328"/>
  <c r="T328"/>
  <c r="R328"/>
  <c r="P328"/>
  <c r="BI326"/>
  <c r="BH326"/>
  <c r="BG326"/>
  <c r="BE326"/>
  <c r="T326"/>
  <c r="R326"/>
  <c r="P326"/>
  <c r="BI325"/>
  <c r="BH325"/>
  <c r="BG325"/>
  <c r="BE325"/>
  <c r="T325"/>
  <c r="R325"/>
  <c r="P325"/>
  <c r="BI323"/>
  <c r="BH323"/>
  <c r="BG323"/>
  <c r="BE323"/>
  <c r="T323"/>
  <c r="R323"/>
  <c r="P323"/>
  <c r="BI322"/>
  <c r="BH322"/>
  <c r="BG322"/>
  <c r="BE322"/>
  <c r="T322"/>
  <c r="R322"/>
  <c r="P322"/>
  <c r="BI321"/>
  <c r="BH321"/>
  <c r="BG321"/>
  <c r="BE321"/>
  <c r="T321"/>
  <c r="R321"/>
  <c r="P321"/>
  <c r="BI320"/>
  <c r="BH320"/>
  <c r="BG320"/>
  <c r="BE320"/>
  <c r="T320"/>
  <c r="R320"/>
  <c r="P320"/>
  <c r="BI319"/>
  <c r="BH319"/>
  <c r="BG319"/>
  <c r="BE319"/>
  <c r="T319"/>
  <c r="R319"/>
  <c r="P319"/>
  <c r="BI318"/>
  <c r="BH318"/>
  <c r="BG318"/>
  <c r="BE318"/>
  <c r="T318"/>
  <c r="R318"/>
  <c r="P318"/>
  <c r="BI317"/>
  <c r="BH317"/>
  <c r="BG317"/>
  <c r="BE317"/>
  <c r="T317"/>
  <c r="R317"/>
  <c r="P317"/>
  <c r="BI316"/>
  <c r="BH316"/>
  <c r="BG316"/>
  <c r="BE316"/>
  <c r="T316"/>
  <c r="R316"/>
  <c r="P316"/>
  <c r="BI315"/>
  <c r="BH315"/>
  <c r="BG315"/>
  <c r="BE315"/>
  <c r="T315"/>
  <c r="R315"/>
  <c r="P315"/>
  <c r="BI314"/>
  <c r="BH314"/>
  <c r="BG314"/>
  <c r="BE314"/>
  <c r="T314"/>
  <c r="R314"/>
  <c r="P314"/>
  <c r="BI313"/>
  <c r="BH313"/>
  <c r="BG313"/>
  <c r="BE313"/>
  <c r="T313"/>
  <c r="R313"/>
  <c r="P313"/>
  <c r="BI312"/>
  <c r="BH312"/>
  <c r="BG312"/>
  <c r="BE312"/>
  <c r="T312"/>
  <c r="R312"/>
  <c r="P312"/>
  <c r="BI311"/>
  <c r="BH311"/>
  <c r="BG311"/>
  <c r="BE311"/>
  <c r="T311"/>
  <c r="R311"/>
  <c r="P311"/>
  <c r="BI310"/>
  <c r="BH310"/>
  <c r="BG310"/>
  <c r="BE310"/>
  <c r="BI309"/>
  <c r="BH309"/>
  <c r="BG309"/>
  <c r="BE309"/>
  <c r="T309"/>
  <c r="R309"/>
  <c r="P309"/>
  <c r="BI308"/>
  <c r="BH308"/>
  <c r="BG308"/>
  <c r="BE308"/>
  <c r="T308"/>
  <c r="R308"/>
  <c r="P308"/>
  <c r="BI307"/>
  <c r="BH307"/>
  <c r="BG307"/>
  <c r="BE307"/>
  <c r="T307"/>
  <c r="R307"/>
  <c r="P307"/>
  <c r="BI306"/>
  <c r="BH306"/>
  <c r="BG306"/>
  <c r="BE306"/>
  <c r="T306"/>
  <c r="R306"/>
  <c r="P306"/>
  <c r="BI305"/>
  <c r="BH305"/>
  <c r="BG305"/>
  <c r="BE305"/>
  <c r="T305"/>
  <c r="R305"/>
  <c r="P305"/>
  <c r="BI304"/>
  <c r="BH304"/>
  <c r="BG304"/>
  <c r="BE304"/>
  <c r="T304"/>
  <c r="R304"/>
  <c r="P304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300"/>
  <c r="BH300"/>
  <c r="BG300"/>
  <c r="BE300"/>
  <c r="T300"/>
  <c r="R300"/>
  <c r="P300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6"/>
  <c r="BH296"/>
  <c r="BG296"/>
  <c r="BE296"/>
  <c r="T296"/>
  <c r="R296"/>
  <c r="P296"/>
  <c r="BI295"/>
  <c r="BH295"/>
  <c r="BG295"/>
  <c r="BE295"/>
  <c r="T295"/>
  <c r="R295"/>
  <c r="P295"/>
  <c r="BI294"/>
  <c r="BH294"/>
  <c r="BG294"/>
  <c r="BE294"/>
  <c r="T294"/>
  <c r="R294"/>
  <c r="P294"/>
  <c r="BI293"/>
  <c r="BH293"/>
  <c r="BG293"/>
  <c r="BE293"/>
  <c r="T293"/>
  <c r="R293"/>
  <c r="P293"/>
  <c r="BI292"/>
  <c r="BH292"/>
  <c r="BG292"/>
  <c r="BE292"/>
  <c r="T292"/>
  <c r="R292"/>
  <c r="P292"/>
  <c r="BI291"/>
  <c r="BH291"/>
  <c r="BG291"/>
  <c r="BE291"/>
  <c r="T291"/>
  <c r="R291"/>
  <c r="P291"/>
  <c r="BI289"/>
  <c r="BH289"/>
  <c r="BG289"/>
  <c r="BE289"/>
  <c r="T289"/>
  <c r="R289"/>
  <c r="P289"/>
  <c r="BI288"/>
  <c r="BH288"/>
  <c r="BG288"/>
  <c r="BE288"/>
  <c r="T288"/>
  <c r="BI287"/>
  <c r="BH287"/>
  <c r="BG287"/>
  <c r="BE287"/>
  <c r="T287"/>
  <c r="R287"/>
  <c r="P287"/>
  <c r="BI286"/>
  <c r="BH286"/>
  <c r="BG286"/>
  <c r="BE286"/>
  <c r="T286"/>
  <c r="R286"/>
  <c r="P286"/>
  <c r="BI285"/>
  <c r="BH285"/>
  <c r="BG285"/>
  <c r="BE285"/>
  <c r="T285"/>
  <c r="R285"/>
  <c r="P285"/>
  <c r="BI283"/>
  <c r="BH283"/>
  <c r="BG283"/>
  <c r="BE283"/>
  <c r="T283"/>
  <c r="R283"/>
  <c r="P283"/>
  <c r="BI282"/>
  <c r="BH282"/>
  <c r="BG282"/>
  <c r="BE282"/>
  <c r="T282"/>
  <c r="R282"/>
  <c r="P282"/>
  <c r="BI281"/>
  <c r="BH281"/>
  <c r="BG281"/>
  <c r="BE281"/>
  <c r="T281"/>
  <c r="R281"/>
  <c r="P281"/>
  <c r="BI280"/>
  <c r="BH280"/>
  <c r="BG280"/>
  <c r="BE280"/>
  <c r="T280"/>
  <c r="R280"/>
  <c r="P280"/>
  <c r="BI279"/>
  <c r="BH279"/>
  <c r="BG279"/>
  <c r="BE279"/>
  <c r="T279"/>
  <c r="R279"/>
  <c r="P279"/>
  <c r="BI277"/>
  <c r="BH277"/>
  <c r="BG277"/>
  <c r="BE277"/>
  <c r="T277"/>
  <c r="R277"/>
  <c r="P277"/>
  <c r="BI276"/>
  <c r="BH276"/>
  <c r="BG276"/>
  <c r="BE276"/>
  <c r="BI275"/>
  <c r="BH275"/>
  <c r="BG275"/>
  <c r="BE275"/>
  <c r="T275"/>
  <c r="R275"/>
  <c r="P275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5"/>
  <c r="BH265"/>
  <c r="BG265"/>
  <c r="BE265"/>
  <c r="T265"/>
  <c r="R265"/>
  <c r="P265"/>
  <c r="BI264"/>
  <c r="BH264"/>
  <c r="BG264"/>
  <c r="BE264"/>
  <c r="T264"/>
  <c r="R264"/>
  <c r="P264"/>
  <c r="BI262"/>
  <c r="BH262"/>
  <c r="BG262"/>
  <c r="BE262"/>
  <c r="T262"/>
  <c r="R262"/>
  <c r="P262"/>
  <c r="BI261"/>
  <c r="BH261"/>
  <c r="BG261"/>
  <c r="BE261"/>
  <c r="T261"/>
  <c r="R261"/>
  <c r="P261"/>
  <c r="BI260"/>
  <c r="BH260"/>
  <c r="BG260"/>
  <c r="BE260"/>
  <c r="T260"/>
  <c r="R260"/>
  <c r="P260"/>
  <c r="BI259"/>
  <c r="BH259"/>
  <c r="BG259"/>
  <c r="BE259"/>
  <c r="T259"/>
  <c r="R259"/>
  <c r="P259"/>
  <c r="BI258"/>
  <c r="BH258"/>
  <c r="BG258"/>
  <c r="BE258"/>
  <c r="T258"/>
  <c r="R258"/>
  <c r="P258"/>
  <c r="BI257"/>
  <c r="BH257"/>
  <c r="BG257"/>
  <c r="BE257"/>
  <c r="T257"/>
  <c r="R257"/>
  <c r="P257"/>
  <c r="BI256"/>
  <c r="BH256"/>
  <c r="BG256"/>
  <c r="BE256"/>
  <c r="T256"/>
  <c r="R256"/>
  <c r="P256"/>
  <c r="BI254"/>
  <c r="BH254"/>
  <c r="BG254"/>
  <c r="BE254"/>
  <c r="T254"/>
  <c r="R254"/>
  <c r="P254"/>
  <c r="BI253"/>
  <c r="BH253"/>
  <c r="BG253"/>
  <c r="BE253"/>
  <c r="T253"/>
  <c r="R253"/>
  <c r="P253"/>
  <c r="BI252"/>
  <c r="BH252"/>
  <c r="BG252"/>
  <c r="BE252"/>
  <c r="T252"/>
  <c r="R252"/>
  <c r="P252"/>
  <c r="BI251"/>
  <c r="BH251"/>
  <c r="BG251"/>
  <c r="BE251"/>
  <c r="T251"/>
  <c r="R251"/>
  <c r="P251"/>
  <c r="BI250"/>
  <c r="BH250"/>
  <c r="BG250"/>
  <c r="BE250"/>
  <c r="T250"/>
  <c r="R250"/>
  <c r="P250"/>
  <c r="BI249"/>
  <c r="BH249"/>
  <c r="BG249"/>
  <c r="BE249"/>
  <c r="T249"/>
  <c r="R249"/>
  <c r="P249"/>
  <c r="BI248"/>
  <c r="BH248"/>
  <c r="BG248"/>
  <c r="BE248"/>
  <c r="T248"/>
  <c r="R248"/>
  <c r="P248"/>
  <c r="BI246"/>
  <c r="BH246"/>
  <c r="BG246"/>
  <c r="BE246"/>
  <c r="T246"/>
  <c r="R246"/>
  <c r="P246"/>
  <c r="BI245"/>
  <c r="BH245"/>
  <c r="BG245"/>
  <c r="BE245"/>
  <c r="T245"/>
  <c r="R245"/>
  <c r="P245"/>
  <c r="BI244"/>
  <c r="BH244"/>
  <c r="BG244"/>
  <c r="BE244"/>
  <c r="T244"/>
  <c r="R244"/>
  <c r="P244"/>
  <c r="BI243"/>
  <c r="BH243"/>
  <c r="BG243"/>
  <c r="BE243"/>
  <c r="T243"/>
  <c r="R243"/>
  <c r="P243"/>
  <c r="BI242"/>
  <c r="BH242"/>
  <c r="BG242"/>
  <c r="BE242"/>
  <c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8"/>
  <c r="BH238"/>
  <c r="BG238"/>
  <c r="BE238"/>
  <c r="T238"/>
  <c r="R238"/>
  <c r="P238"/>
  <c r="BI237"/>
  <c r="BH237"/>
  <c r="BG237"/>
  <c r="BE237"/>
  <c r="T237"/>
  <c r="R237"/>
  <c r="P237"/>
  <c r="BI234"/>
  <c r="BH234"/>
  <c r="BG234"/>
  <c r="BE234"/>
  <c r="T234"/>
  <c r="T233" s="1"/>
  <c r="R234"/>
  <c r="R233" s="1"/>
  <c r="P234"/>
  <c r="P233" s="1"/>
  <c r="BI232"/>
  <c r="BH232"/>
  <c r="BG232"/>
  <c r="BE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6"/>
  <c r="BH206"/>
  <c r="BG206"/>
  <c r="BE206"/>
  <c r="T206"/>
  <c r="R206"/>
  <c r="P206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BI198"/>
  <c r="BH198"/>
  <c r="BG198"/>
  <c r="BE198"/>
  <c r="T198"/>
  <c r="R198"/>
  <c r="P198"/>
  <c r="BI197"/>
  <c r="BH197"/>
  <c r="BG197"/>
  <c r="BE197"/>
  <c r="BI196"/>
  <c r="BH196"/>
  <c r="BG196"/>
  <c r="BE196"/>
  <c r="BI195"/>
  <c r="BH195"/>
  <c r="BG195"/>
  <c r="BE195"/>
  <c r="T195"/>
  <c r="R195"/>
  <c r="P195"/>
  <c r="BI194"/>
  <c r="BH194"/>
  <c r="BG194"/>
  <c r="BE194"/>
  <c r="BI193"/>
  <c r="BH193"/>
  <c r="BG193"/>
  <c r="BE193"/>
  <c r="BI192"/>
  <c r="BH192"/>
  <c r="BG192"/>
  <c r="BE192"/>
  <c r="BI190"/>
  <c r="BH190"/>
  <c r="BG190"/>
  <c r="BE190"/>
  <c r="T190"/>
  <c r="R190"/>
  <c r="P190"/>
  <c r="BI189"/>
  <c r="BH189"/>
  <c r="BG189"/>
  <c r="BE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BI184"/>
  <c r="BH184"/>
  <c r="BG184"/>
  <c r="BE184"/>
  <c r="BI183"/>
  <c r="BH183"/>
  <c r="BG183"/>
  <c r="BE183"/>
  <c r="T183"/>
  <c r="R183"/>
  <c r="P183"/>
  <c r="BI182"/>
  <c r="BH182"/>
  <c r="BG182"/>
  <c r="BE182"/>
  <c r="BI181"/>
  <c r="BH181"/>
  <c r="BG181"/>
  <c r="BE181"/>
  <c r="BI180"/>
  <c r="BH180"/>
  <c r="BG180"/>
  <c r="BE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BI152"/>
  <c r="BH152"/>
  <c r="BG152"/>
  <c r="BE152"/>
  <c r="BI151"/>
  <c r="BH151"/>
  <c r="BG151"/>
  <c r="BE151"/>
  <c r="BI150"/>
  <c r="BH150"/>
  <c r="BG150"/>
  <c r="BE150"/>
  <c r="BI149"/>
  <c r="BH149"/>
  <c r="BG149"/>
  <c r="BE149"/>
  <c r="BI148"/>
  <c r="BH148"/>
  <c r="BG148"/>
  <c r="BE148"/>
  <c r="BI147"/>
  <c r="BH147"/>
  <c r="BG147"/>
  <c r="BE147"/>
  <c r="BI146"/>
  <c r="BH146"/>
  <c r="BG146"/>
  <c r="BE146"/>
  <c r="BI144"/>
  <c r="BH144"/>
  <c r="BG144"/>
  <c r="BE144"/>
  <c r="T144"/>
  <c r="R144"/>
  <c r="P144"/>
  <c r="F138"/>
  <c r="J137"/>
  <c r="F137"/>
  <c r="F135"/>
  <c r="F92"/>
  <c r="E87"/>
  <c r="J135"/>
  <c r="E131"/>
  <c r="J445"/>
  <c r="BK392"/>
  <c r="J373"/>
  <c r="BK360"/>
  <c r="BK335"/>
  <c r="J306"/>
  <c r="BK264"/>
  <c r="J220"/>
  <c r="J410"/>
  <c r="BK372"/>
  <c r="BK361"/>
  <c r="BK321"/>
  <c r="BK311"/>
  <c r="J294"/>
  <c r="J274"/>
  <c r="J265"/>
  <c r="BK241"/>
  <c r="J422"/>
  <c r="J395"/>
  <c r="J378"/>
  <c r="J367"/>
  <c r="BK355"/>
  <c r="J328"/>
  <c r="J303"/>
  <c r="J282"/>
  <c r="BK275"/>
  <c r="J261"/>
  <c r="BK245"/>
  <c r="J228"/>
  <c r="BK219"/>
  <c r="J213"/>
  <c r="J206"/>
  <c r="J198"/>
  <c r="BK166"/>
  <c r="J160"/>
  <c r="J423"/>
  <c r="BK401"/>
  <c r="BK389"/>
  <c r="BK365"/>
  <c r="BK304"/>
  <c r="J254"/>
  <c r="J245"/>
  <c r="BK221"/>
  <c r="BK201"/>
  <c r="BK178"/>
  <c r="BK445"/>
  <c r="J434"/>
  <c r="J387"/>
  <c r="BK373"/>
  <c r="J361"/>
  <c r="J325"/>
  <c r="J314"/>
  <c r="BK300"/>
  <c r="BK273"/>
  <c r="BK237"/>
  <c r="J223"/>
  <c r="J163"/>
  <c r="J437"/>
  <c r="J431"/>
  <c r="BK410"/>
  <c r="BK397"/>
  <c r="BK387"/>
  <c r="BK362"/>
  <c r="BK343"/>
  <c r="J340"/>
  <c r="BK328"/>
  <c r="BK322"/>
  <c r="BK306"/>
  <c r="BK301"/>
  <c r="BK274"/>
  <c r="J260"/>
  <c r="BK248"/>
  <c r="BK222"/>
  <c r="BK210"/>
  <c r="J201"/>
  <c r="J178"/>
  <c r="J166"/>
  <c r="BK398"/>
  <c r="BK390"/>
  <c r="BK371"/>
  <c r="BK341"/>
  <c r="J335"/>
  <c r="BK313"/>
  <c r="J296"/>
  <c r="J281"/>
  <c r="J275"/>
  <c r="BK257"/>
  <c r="BK231"/>
  <c r="J217"/>
  <c r="BK200"/>
  <c r="BK183"/>
  <c r="J158"/>
  <c r="J433"/>
  <c r="BK411"/>
  <c r="BK442"/>
  <c r="BK406"/>
  <c r="BK399"/>
  <c r="J338"/>
  <c r="BK309"/>
  <c r="BK296"/>
  <c r="J279"/>
  <c r="BK250"/>
  <c r="J218"/>
  <c r="J175"/>
  <c r="BK164"/>
  <c r="BK156"/>
  <c r="J371"/>
  <c r="J359"/>
  <c r="BK340"/>
  <c r="BK323"/>
  <c r="J309"/>
  <c r="J270"/>
  <c r="J259"/>
  <c r="J239"/>
  <c r="BK415"/>
  <c r="J403"/>
  <c r="J386"/>
  <c r="J377"/>
  <c r="J370"/>
  <c r="BK358"/>
  <c r="BK329"/>
  <c r="J301"/>
  <c r="BK280"/>
  <c r="J277"/>
  <c r="BK244"/>
  <c r="J224"/>
  <c r="BK215"/>
  <c r="BK175"/>
  <c r="J168"/>
  <c r="J161"/>
  <c r="J400"/>
  <c r="BK381"/>
  <c r="BK344"/>
  <c r="BK319"/>
  <c r="BK294"/>
  <c r="BK229"/>
  <c r="BK190"/>
  <c r="J174"/>
  <c r="J435"/>
  <c r="J413"/>
  <c r="J396"/>
  <c r="J383"/>
  <c r="BK377"/>
  <c r="J369"/>
  <c r="BK359"/>
  <c r="J343"/>
  <c r="BK326"/>
  <c r="BK315"/>
  <c r="BK307"/>
  <c r="J295"/>
  <c r="J268"/>
  <c r="J243"/>
  <c r="BK216"/>
  <c r="BK214"/>
  <c r="J170"/>
  <c r="J441"/>
  <c r="BK429"/>
  <c r="BK421"/>
  <c r="BK395"/>
  <c r="J375"/>
  <c r="BK325"/>
  <c r="J311"/>
  <c r="BK298"/>
  <c r="BK289"/>
  <c r="BK265"/>
  <c r="J257"/>
  <c r="J252"/>
  <c r="J251"/>
  <c r="J221"/>
  <c r="BK209"/>
  <c r="BK167"/>
  <c r="J408"/>
  <c r="J393"/>
  <c r="J385"/>
  <c r="J368"/>
  <c r="J358"/>
  <c r="J336"/>
  <c r="J315"/>
  <c r="J289"/>
  <c r="BK277"/>
  <c r="BK267"/>
  <c r="BK205"/>
  <c r="BK179"/>
  <c r="BK203"/>
  <c r="BK446"/>
  <c r="J439"/>
  <c r="BK431"/>
  <c r="J425"/>
  <c r="BK416"/>
  <c r="J398"/>
  <c r="BK367"/>
  <c r="BK339"/>
  <c r="J329"/>
  <c r="J307"/>
  <c r="J287"/>
  <c r="J229"/>
  <c r="BK195"/>
  <c r="J176"/>
  <c r="J162"/>
  <c r="J155"/>
  <c r="BK369"/>
  <c r="BK318"/>
  <c r="BK302"/>
  <c r="J248"/>
  <c r="J216"/>
  <c r="BK426"/>
  <c r="J399"/>
  <c r="BK383"/>
  <c r="J376"/>
  <c r="BK366"/>
  <c r="J341"/>
  <c r="J322"/>
  <c r="BK299"/>
  <c r="BK287"/>
  <c r="J267"/>
  <c r="BK243"/>
  <c r="BK225"/>
  <c r="BK187"/>
  <c r="J164"/>
  <c r="J426"/>
  <c r="BK404"/>
  <c r="J391"/>
  <c r="J366"/>
  <c r="J330"/>
  <c r="BK285"/>
  <c r="J230"/>
  <c r="BK220"/>
  <c r="J205"/>
  <c r="J169"/>
  <c r="J447"/>
  <c r="J411"/>
  <c r="J392"/>
  <c r="BK376"/>
  <c r="BK356"/>
  <c r="BK332"/>
  <c r="BK261"/>
  <c r="BK246"/>
  <c r="BK234"/>
  <c r="J210"/>
  <c r="J204"/>
  <c r="J172"/>
  <c r="BK162"/>
  <c r="BK448"/>
  <c r="BK436"/>
  <c r="BK430"/>
  <c r="BK422"/>
  <c r="BK396"/>
  <c r="J384"/>
  <c r="BK374"/>
  <c r="J339"/>
  <c r="J326"/>
  <c r="BK308"/>
  <c r="J300"/>
  <c r="J293"/>
  <c r="J280"/>
  <c r="BK270"/>
  <c r="J256"/>
  <c r="J250"/>
  <c r="J237"/>
  <c r="BK188"/>
  <c r="BK169"/>
  <c r="BK144"/>
  <c r="J404"/>
  <c r="J394"/>
  <c r="J388"/>
  <c r="J364"/>
  <c r="BK333"/>
  <c r="J304"/>
  <c r="BK271"/>
  <c r="J253"/>
  <c r="BK228"/>
  <c r="BK198"/>
  <c r="BK172"/>
  <c r="BK155"/>
  <c r="J444"/>
  <c r="BK337"/>
  <c r="J200"/>
  <c r="BK402"/>
  <c r="J319"/>
  <c r="BK385"/>
  <c r="BK283"/>
  <c r="J238"/>
  <c r="J190"/>
  <c r="BK157"/>
  <c r="BK386"/>
  <c r="J320"/>
  <c r="J249"/>
  <c r="J222"/>
  <c r="J448"/>
  <c r="J415"/>
  <c r="J406"/>
  <c r="J316"/>
  <c r="J292"/>
  <c r="BK260"/>
  <c r="BK439"/>
  <c r="J417"/>
  <c r="J302"/>
  <c r="J271"/>
  <c r="J381"/>
  <c r="J299"/>
  <c r="BK437"/>
  <c r="J421"/>
  <c r="J195"/>
  <c r="BK447"/>
  <c r="BK440"/>
  <c r="BK433"/>
  <c r="BK413"/>
  <c r="BK384"/>
  <c r="J374"/>
  <c r="BK363"/>
  <c r="BK330"/>
  <c r="J297"/>
  <c r="J285"/>
  <c r="BK254"/>
  <c r="J244"/>
  <c r="BK213"/>
  <c r="J202"/>
  <c r="J179"/>
  <c r="BK158"/>
  <c r="BK382"/>
  <c r="BK364"/>
  <c r="J356"/>
  <c r="J331"/>
  <c r="BK316"/>
  <c r="J308"/>
  <c r="BK279"/>
  <c r="J269"/>
  <c r="BK256"/>
  <c r="BK425"/>
  <c r="J389"/>
  <c r="J372"/>
  <c r="J337"/>
  <c r="BK305"/>
  <c r="BK292"/>
  <c r="J264"/>
  <c r="BK259"/>
  <c r="BK251"/>
  <c r="J212"/>
  <c r="BK186"/>
  <c r="BK165"/>
  <c r="J156"/>
  <c r="BK394"/>
  <c r="J363"/>
  <c r="BK317"/>
  <c r="BK224"/>
  <c r="J207"/>
  <c r="BK204"/>
  <c r="BK441"/>
  <c r="J429"/>
  <c r="BK417"/>
  <c r="BK403"/>
  <c r="BK378"/>
  <c r="J362"/>
  <c r="BK336"/>
  <c r="J317"/>
  <c r="J305"/>
  <c r="BK269"/>
  <c r="BK252"/>
  <c r="J240"/>
  <c r="J226"/>
  <c r="BK217"/>
  <c r="J215"/>
  <c r="J208"/>
  <c r="J187"/>
  <c r="BK161"/>
  <c r="J144"/>
  <c r="J440"/>
  <c r="BK434"/>
  <c r="J409"/>
  <c r="BK388"/>
  <c r="J360"/>
  <c r="J332"/>
  <c r="J313"/>
  <c r="BK303"/>
  <c r="BK282"/>
  <c r="BK268"/>
  <c r="J258"/>
  <c r="BK249"/>
  <c r="BK223"/>
  <c r="BK207"/>
  <c r="J183"/>
  <c r="BK163"/>
  <c r="BK409"/>
  <c r="BK400"/>
  <c r="BK391"/>
  <c r="BK338"/>
  <c r="J318"/>
  <c r="BK312"/>
  <c r="BK295"/>
  <c r="J286"/>
  <c r="J273"/>
  <c r="BK262"/>
  <c r="BK230"/>
  <c r="BK208"/>
  <c r="J186"/>
  <c r="BK170"/>
  <c r="J430"/>
  <c r="J321"/>
  <c r="BK168"/>
  <c r="BK297"/>
  <c r="BK408"/>
  <c r="J402"/>
  <c r="J382"/>
  <c r="BK320"/>
  <c r="BK239"/>
  <c r="BK368"/>
  <c r="J246"/>
  <c r="BK211"/>
  <c r="J446"/>
  <c r="J416"/>
  <c r="J333"/>
  <c r="J219"/>
  <c r="BK206"/>
  <c r="BK177"/>
  <c r="BK286"/>
  <c r="J262"/>
  <c r="BK375"/>
  <c r="J234"/>
  <c r="J233" s="1"/>
  <c r="BK176"/>
  <c r="BK444"/>
  <c r="J436"/>
  <c r="BK281"/>
  <c r="BK240"/>
  <c r="J203"/>
  <c r="BK174"/>
  <c r="BK370"/>
  <c r="J334"/>
  <c r="BK314"/>
  <c r="BK266"/>
  <c r="J401"/>
  <c r="BK334"/>
  <c r="J291"/>
  <c r="BK272"/>
  <c r="J241"/>
  <c r="BK218"/>
  <c r="J209"/>
  <c r="J177"/>
  <c r="BK393"/>
  <c r="J214"/>
  <c r="J442"/>
  <c r="BK423"/>
  <c r="J390"/>
  <c r="J365"/>
  <c r="J323"/>
  <c r="J298"/>
  <c r="J283"/>
  <c r="J266"/>
  <c r="BK238"/>
  <c r="J225"/>
  <c r="BK212"/>
  <c r="BK171"/>
  <c r="BK160"/>
  <c r="BK435"/>
  <c r="J312"/>
  <c r="BK291"/>
  <c r="J272"/>
  <c r="BK253"/>
  <c r="J231"/>
  <c r="J211"/>
  <c r="J171"/>
  <c r="J165"/>
  <c r="J397"/>
  <c r="BK331"/>
  <c r="BK293"/>
  <c r="BK258"/>
  <c r="BK226"/>
  <c r="BK202"/>
  <c r="J188"/>
  <c r="J167"/>
  <c r="J157"/>
  <c r="P232" l="1"/>
  <c r="P288"/>
  <c r="R288"/>
  <c r="R278" s="1"/>
  <c r="J288"/>
  <c r="BK278"/>
  <c r="BK276"/>
  <c r="BK263" s="1"/>
  <c r="R232"/>
  <c r="Y107"/>
  <c r="BK232"/>
  <c r="T232"/>
  <c r="Y114"/>
  <c r="Y115"/>
  <c r="BK242"/>
  <c r="BK236" s="1"/>
  <c r="R242"/>
  <c r="R236" s="1"/>
  <c r="P192"/>
  <c r="H193"/>
  <c r="T276"/>
  <c r="T263" s="1"/>
  <c r="J276"/>
  <c r="BF276" s="1"/>
  <c r="P242"/>
  <c r="P236" s="1"/>
  <c r="J242"/>
  <c r="J236" s="1"/>
  <c r="J418"/>
  <c r="BF418" s="1"/>
  <c r="R276"/>
  <c r="R263" s="1"/>
  <c r="J152"/>
  <c r="BF152" s="1"/>
  <c r="BK418"/>
  <c r="P152"/>
  <c r="R418"/>
  <c r="BK146"/>
  <c r="P146"/>
  <c r="J324"/>
  <c r="P278"/>
  <c r="J357"/>
  <c r="J255"/>
  <c r="J424"/>
  <c r="J247"/>
  <c r="J407"/>
  <c r="J159"/>
  <c r="J327"/>
  <c r="R420"/>
  <c r="P419"/>
  <c r="J443"/>
  <c r="J432"/>
  <c r="J438"/>
  <c r="R180"/>
  <c r="P420"/>
  <c r="BK419"/>
  <c r="J146"/>
  <c r="BF146" s="1"/>
  <c r="J419"/>
  <c r="BF419" s="1"/>
  <c r="BK310"/>
  <c r="BK290" s="1"/>
  <c r="T146"/>
  <c r="R310"/>
  <c r="R290" s="1"/>
  <c r="T419"/>
  <c r="T414" s="1"/>
  <c r="J420"/>
  <c r="BF420" s="1"/>
  <c r="BK420"/>
  <c r="P310"/>
  <c r="P290" s="1"/>
  <c r="R419"/>
  <c r="J180"/>
  <c r="BF180" s="1"/>
  <c r="P180"/>
  <c r="T192"/>
  <c r="BK180"/>
  <c r="BK192"/>
  <c r="R192"/>
  <c r="T278"/>
  <c r="J192"/>
  <c r="J278"/>
  <c r="H189"/>
  <c r="H181"/>
  <c r="H184" s="1"/>
  <c r="H185" s="1"/>
  <c r="BK152"/>
  <c r="J310"/>
  <c r="BF310" s="1"/>
  <c r="T152"/>
  <c r="P418"/>
  <c r="R152"/>
  <c r="H196"/>
  <c r="H197"/>
  <c r="H199"/>
  <c r="H194"/>
  <c r="R227"/>
  <c r="BK227"/>
  <c r="P227"/>
  <c r="J227"/>
  <c r="BF227" s="1"/>
  <c r="J154"/>
  <c r="T154"/>
  <c r="T153" s="1"/>
  <c r="H151"/>
  <c r="H147"/>
  <c r="H149"/>
  <c r="H150"/>
  <c r="BK154"/>
  <c r="BK153" s="1"/>
  <c r="R154"/>
  <c r="R153" s="1"/>
  <c r="T159"/>
  <c r="P357"/>
  <c r="BK424"/>
  <c r="R438"/>
  <c r="T236"/>
  <c r="P247"/>
  <c r="P255"/>
  <c r="T290"/>
  <c r="P324"/>
  <c r="P327"/>
  <c r="BK407"/>
  <c r="R424"/>
  <c r="P438"/>
  <c r="T443"/>
  <c r="R449"/>
  <c r="T255"/>
  <c r="T357"/>
  <c r="BK432"/>
  <c r="BK443"/>
  <c r="P159"/>
  <c r="T247"/>
  <c r="R255"/>
  <c r="BK357"/>
  <c r="P407"/>
  <c r="R432"/>
  <c r="P443"/>
  <c r="T449"/>
  <c r="BK159"/>
  <c r="BK255"/>
  <c r="P263"/>
  <c r="BK324"/>
  <c r="R324"/>
  <c r="T324"/>
  <c r="T327"/>
  <c r="T407"/>
  <c r="P424"/>
  <c r="P432"/>
  <c r="T438"/>
  <c r="P449"/>
  <c r="P153"/>
  <c r="R159"/>
  <c r="R247"/>
  <c r="BK327"/>
  <c r="R327"/>
  <c r="R407"/>
  <c r="T424"/>
  <c r="T432"/>
  <c r="R443"/>
  <c r="BK247"/>
  <c r="R357"/>
  <c r="BK438"/>
  <c r="BK450"/>
  <c r="J121" s="1"/>
  <c r="BK233"/>
  <c r="J103" s="1"/>
  <c r="BF162"/>
  <c r="BF171"/>
  <c r="BF188"/>
  <c r="BF195"/>
  <c r="BF203"/>
  <c r="BF217"/>
  <c r="BF219"/>
  <c r="BF220"/>
  <c r="BF221"/>
  <c r="BF223"/>
  <c r="BF225"/>
  <c r="BF239"/>
  <c r="BF240"/>
  <c r="BF244"/>
  <c r="BF249"/>
  <c r="BF254"/>
  <c r="BF265"/>
  <c r="BF267"/>
  <c r="BF273"/>
  <c r="BF282"/>
  <c r="BF285"/>
  <c r="BF287"/>
  <c r="BF320"/>
  <c r="BF336"/>
  <c r="BF339"/>
  <c r="BF358"/>
  <c r="BF360"/>
  <c r="BF368"/>
  <c r="BF372"/>
  <c r="BF397"/>
  <c r="BF399"/>
  <c r="BF406"/>
  <c r="BF155"/>
  <c r="BF158"/>
  <c r="BF161"/>
  <c r="BF190"/>
  <c r="BF202"/>
  <c r="BF212"/>
  <c r="BF215"/>
  <c r="BF216"/>
  <c r="BF218"/>
  <c r="BF224"/>
  <c r="BF243"/>
  <c r="BF245"/>
  <c r="BF264"/>
  <c r="BF288"/>
  <c r="BF297"/>
  <c r="BF305"/>
  <c r="BF308"/>
  <c r="BF315"/>
  <c r="BF317"/>
  <c r="BF341"/>
  <c r="BF366"/>
  <c r="BF378"/>
  <c r="BF385"/>
  <c r="BF386"/>
  <c r="BF391"/>
  <c r="BF392"/>
  <c r="BF394"/>
  <c r="BF408"/>
  <c r="BF417"/>
  <c r="BF433"/>
  <c r="BF445"/>
  <c r="BF446"/>
  <c r="E85"/>
  <c r="BF157"/>
  <c r="BF167"/>
  <c r="BF168"/>
  <c r="BF169"/>
  <c r="BF176"/>
  <c r="BF178"/>
  <c r="BF179"/>
  <c r="BF186"/>
  <c r="BF200"/>
  <c r="BF201"/>
  <c r="BF213"/>
  <c r="BF228"/>
  <c r="BF259"/>
  <c r="BF281"/>
  <c r="BF311"/>
  <c r="BF321"/>
  <c r="BF328"/>
  <c r="BF329"/>
  <c r="BF334"/>
  <c r="BF335"/>
  <c r="BF344"/>
  <c r="BF367"/>
  <c r="BF384"/>
  <c r="BF389"/>
  <c r="BF400"/>
  <c r="BF401"/>
  <c r="BF402"/>
  <c r="BF410"/>
  <c r="BF426"/>
  <c r="BF431"/>
  <c r="BF439"/>
  <c r="BF441"/>
  <c r="BF442"/>
  <c r="BF444"/>
  <c r="J89"/>
  <c r="BF160"/>
  <c r="BF164"/>
  <c r="BF170"/>
  <c r="BF175"/>
  <c r="BF177"/>
  <c r="BF183"/>
  <c r="BF187"/>
  <c r="BF226"/>
  <c r="BF234"/>
  <c r="BF238"/>
  <c r="BF241"/>
  <c r="BF250"/>
  <c r="BF256"/>
  <c r="BF266"/>
  <c r="BF269"/>
  <c r="BF277"/>
  <c r="BF280"/>
  <c r="BF283"/>
  <c r="BF286"/>
  <c r="BF295"/>
  <c r="BF296"/>
  <c r="BF298"/>
  <c r="BF301"/>
  <c r="BF309"/>
  <c r="BF312"/>
  <c r="BF322"/>
  <c r="BF326"/>
  <c r="BF332"/>
  <c r="BF338"/>
  <c r="BF355"/>
  <c r="BF359"/>
  <c r="BF369"/>
  <c r="BF371"/>
  <c r="BF373"/>
  <c r="BF377"/>
  <c r="BF382"/>
  <c r="BF383"/>
  <c r="BF387"/>
  <c r="BF388"/>
  <c r="BF396"/>
  <c r="BF411"/>
  <c r="BF413"/>
  <c r="BF144"/>
  <c r="BF156"/>
  <c r="BF163"/>
  <c r="BF172"/>
  <c r="BF174"/>
  <c r="BF204"/>
  <c r="BF205"/>
  <c r="BF207"/>
  <c r="BF208"/>
  <c r="BF210"/>
  <c r="BF222"/>
  <c r="BF231"/>
  <c r="BF232"/>
  <c r="BF246"/>
  <c r="BF248"/>
  <c r="BF252"/>
  <c r="BF253"/>
  <c r="BF257"/>
  <c r="BF258"/>
  <c r="BF262"/>
  <c r="BF268"/>
  <c r="BF270"/>
  <c r="BF271"/>
  <c r="BF279"/>
  <c r="BF293"/>
  <c r="BF302"/>
  <c r="BF307"/>
  <c r="BF314"/>
  <c r="BF319"/>
  <c r="BF323"/>
  <c r="BF330"/>
  <c r="BF333"/>
  <c r="BF340"/>
  <c r="BF363"/>
  <c r="BF374"/>
  <c r="BF375"/>
  <c r="BF381"/>
  <c r="BF393"/>
  <c r="BF404"/>
  <c r="BF229"/>
  <c r="BF237"/>
  <c r="BF251"/>
  <c r="BF261"/>
  <c r="BF274"/>
  <c r="BF289"/>
  <c r="BF292"/>
  <c r="BF299"/>
  <c r="BF303"/>
  <c r="BF306"/>
  <c r="BF325"/>
  <c r="BF337"/>
  <c r="BF343"/>
  <c r="BF362"/>
  <c r="BF365"/>
  <c r="BF376"/>
  <c r="BF395"/>
  <c r="BF398"/>
  <c r="BF403"/>
  <c r="BF416"/>
  <c r="BF421"/>
  <c r="BF423"/>
  <c r="BF165"/>
  <c r="BF166"/>
  <c r="BF206"/>
  <c r="BF209"/>
  <c r="BF211"/>
  <c r="BF214"/>
  <c r="BF230"/>
  <c r="BF260"/>
  <c r="BF272"/>
  <c r="BF275"/>
  <c r="BF291"/>
  <c r="BF294"/>
  <c r="BF300"/>
  <c r="BF304"/>
  <c r="BF313"/>
  <c r="BF316"/>
  <c r="BF318"/>
  <c r="BF331"/>
  <c r="BF356"/>
  <c r="BF361"/>
  <c r="BF364"/>
  <c r="BF370"/>
  <c r="BF390"/>
  <c r="BF409"/>
  <c r="BF415"/>
  <c r="BF429"/>
  <c r="BF430"/>
  <c r="BF434"/>
  <c r="BF437"/>
  <c r="BF447"/>
  <c r="BF448"/>
  <c r="BF198"/>
  <c r="BF422"/>
  <c r="BF425"/>
  <c r="BF435"/>
  <c r="BF436"/>
  <c r="BF440"/>
  <c r="F36"/>
  <c r="F33"/>
  <c r="J33"/>
  <c r="F37"/>
  <c r="F35"/>
  <c r="J263" l="1"/>
  <c r="J108" s="1"/>
  <c r="Y113"/>
  <c r="Y106"/>
  <c r="Y110"/>
  <c r="BF242"/>
  <c r="J118"/>
  <c r="J112"/>
  <c r="J106"/>
  <c r="J100"/>
  <c r="J111"/>
  <c r="R414"/>
  <c r="R235" s="1"/>
  <c r="J107"/>
  <c r="J105"/>
  <c r="J113"/>
  <c r="J117"/>
  <c r="J116"/>
  <c r="J119"/>
  <c r="J109"/>
  <c r="J290"/>
  <c r="J110" s="1"/>
  <c r="BF154"/>
  <c r="J153"/>
  <c r="J99" s="1"/>
  <c r="BF192"/>
  <c r="J114"/>
  <c r="J414"/>
  <c r="BK414"/>
  <c r="BK235" s="1"/>
  <c r="P414"/>
  <c r="P235" s="1"/>
  <c r="P181"/>
  <c r="T181"/>
  <c r="BK181"/>
  <c r="H182"/>
  <c r="R181"/>
  <c r="J181"/>
  <c r="BF181" s="1"/>
  <c r="J189"/>
  <c r="BF189" s="1"/>
  <c r="P189"/>
  <c r="BK189"/>
  <c r="R189"/>
  <c r="T189"/>
  <c r="BK449"/>
  <c r="J120" s="1"/>
  <c r="P194"/>
  <c r="R194"/>
  <c r="BK194"/>
  <c r="T194"/>
  <c r="J194"/>
  <c r="BF194" s="1"/>
  <c r="T196"/>
  <c r="J196"/>
  <c r="BF196" s="1"/>
  <c r="P196"/>
  <c r="BK196"/>
  <c r="R196"/>
  <c r="BK197"/>
  <c r="P197"/>
  <c r="R197"/>
  <c r="T197"/>
  <c r="J197"/>
  <c r="BF197" s="1"/>
  <c r="BK193"/>
  <c r="P193"/>
  <c r="J193"/>
  <c r="BF193" s="1"/>
  <c r="R193"/>
  <c r="T193"/>
  <c r="R199"/>
  <c r="T199"/>
  <c r="J199"/>
  <c r="BF199" s="1"/>
  <c r="P199"/>
  <c r="BK199"/>
  <c r="R150"/>
  <c r="P150"/>
  <c r="T150"/>
  <c r="J150"/>
  <c r="BF150" s="1"/>
  <c r="BK150"/>
  <c r="T151"/>
  <c r="R151"/>
  <c r="BK151"/>
  <c r="P151"/>
  <c r="J151"/>
  <c r="BF151" s="1"/>
  <c r="P149"/>
  <c r="BK149"/>
  <c r="R149"/>
  <c r="J149"/>
  <c r="BF149" s="1"/>
  <c r="T149"/>
  <c r="H148"/>
  <c r="T147"/>
  <c r="BK147"/>
  <c r="R147"/>
  <c r="P147"/>
  <c r="J147"/>
  <c r="T235"/>
  <c r="BF147" l="1"/>
  <c r="J235"/>
  <c r="J104" s="1"/>
  <c r="J115"/>
  <c r="J191"/>
  <c r="R191"/>
  <c r="P182"/>
  <c r="BK182"/>
  <c r="R182"/>
  <c r="T182"/>
  <c r="J182"/>
  <c r="BF182" s="1"/>
  <c r="T184"/>
  <c r="BK184"/>
  <c r="R184"/>
  <c r="P184"/>
  <c r="J184"/>
  <c r="BF184" s="1"/>
  <c r="BK191"/>
  <c r="T191"/>
  <c r="P191"/>
  <c r="P148"/>
  <c r="P143" s="1"/>
  <c r="J148"/>
  <c r="BF148" s="1"/>
  <c r="R148"/>
  <c r="R143" s="1"/>
  <c r="BK148"/>
  <c r="BK143" s="1"/>
  <c r="T148"/>
  <c r="T143" s="1"/>
  <c r="J102" l="1"/>
  <c r="J143"/>
  <c r="J98" s="1"/>
  <c r="BK185"/>
  <c r="BK173" s="1"/>
  <c r="P185"/>
  <c r="P173" s="1"/>
  <c r="P142" s="1"/>
  <c r="P141" s="1"/>
  <c r="T185"/>
  <c r="T173" s="1"/>
  <c r="T142" s="1"/>
  <c r="T141" s="1"/>
  <c r="R185"/>
  <c r="R173" s="1"/>
  <c r="R142" s="1"/>
  <c r="R141" s="1"/>
  <c r="J185"/>
  <c r="BF185" l="1"/>
  <c r="Y105"/>
  <c r="Y104" s="1"/>
  <c r="J173"/>
  <c r="J101" s="1"/>
  <c r="BK142"/>
  <c r="BK141" s="1"/>
  <c r="J142" l="1"/>
  <c r="J141" s="1"/>
  <c r="J96" s="1"/>
  <c r="V104" s="1"/>
  <c r="J97" l="1"/>
  <c r="J30"/>
  <c r="F34" l="1"/>
  <c r="J34" s="1"/>
  <c r="J39" s="1"/>
</calcChain>
</file>

<file path=xl/sharedStrings.xml><?xml version="1.0" encoding="utf-8"?>
<sst xmlns="http://schemas.openxmlformats.org/spreadsheetml/2006/main" count="4182" uniqueCount="1023">
  <si>
    <t/>
  </si>
  <si>
    <t>False</t>
  </si>
  <si>
    <t>&gt;&gt;  skryté stĺpce  &lt;&lt;</t>
  </si>
  <si>
    <t>v ---  nižšie sa nachádzajú doplnkové a pomocné údaje k zostavám  --- v</t>
  </si>
  <si>
    <t>Stavba:</t>
  </si>
  <si>
    <t>JKSO:</t>
  </si>
  <si>
    <t>KS:</t>
  </si>
  <si>
    <t>Miesto:</t>
  </si>
  <si>
    <t>Dátum:</t>
  </si>
  <si>
    <t>Objednávateľ:</t>
  </si>
  <si>
    <t>IČO:</t>
  </si>
  <si>
    <t>IČ DPH:</t>
  </si>
  <si>
    <t>Zhotoviteľ:</t>
  </si>
  <si>
    <t>určený výberom</t>
  </si>
  <si>
    <t>Projektant: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</si>
  <si>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</si>
  <si>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</si>
  <si>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</si>
  <si>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</si>
  <si>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</si>
  <si>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</si>
  <si>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</si>
  <si>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</si>
  <si>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</si>
  <si>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</si>
  <si>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</si>
  <si>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</si>
  <si>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</si>
  <si>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</si>
  <si>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</si>
  <si>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</si>
  <si>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</si>
  <si>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</si>
  <si>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</si>
  <si>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</si>
  <si>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</si>
  <si>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Kód</t>
  </si>
  <si>
    <t>Popis</t>
  </si>
  <si>
    <t>Typ</t>
  </si>
  <si>
    <t>D</t>
  </si>
  <si>
    <t>0</t>
  </si>
  <si>
    <t>1</t>
  </si>
  <si>
    <t>{7672540b-68b3-4fd3-82dd-19c0fc535242}</t>
  </si>
  <si>
    <t>KRYCÍ LIST ROZPOČTU</t>
  </si>
  <si>
    <t>Objekt: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</si>
  <si>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</si>
  <si>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</si>
  <si>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</si>
  <si>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</si>
  <si>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</si>
  <si>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</si>
  <si>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</si>
  <si>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</si>
  <si>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</si>
  <si>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</si>
  <si>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</si>
  <si>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</si>
  <si>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</si>
  <si>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</si>
  <si>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713 - Izolácie tepelné</t>
  </si>
  <si>
    <t xml:space="preserve">    725 - Zdravotechnika - zariaďovacie predmety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</si>
  <si>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</si>
  <si>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</si>
  <si>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</si>
  <si>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765 - Konštrukcie - krytiny tvrdé</t>
  </si>
  <si>
    <t xml:space="preserve">    766 - Konštrukcie stolárske</t>
  </si>
  <si>
    <t xml:space="preserve">    767 - Konštrukcie doplnkové kovové</t>
  </si>
  <si>
    <t xml:space="preserve">    771 - Podlahy z dlaždíc</t>
  </si>
  <si>
    <t xml:space="preserve">    772 - Podlahy z prírodného a konglomerovaného kameňa</t>
  </si>
  <si>
    <t xml:space="preserve">    776 - Podlahy povlakové</t>
  </si>
  <si>
    <t xml:space="preserve">    781 - Obklady</t>
  </si>
  <si>
    <t xml:space="preserve">    783 - Nátery</t>
  </si>
  <si>
    <t xml:space="preserve">    784 - Maľby</t>
  </si>
  <si>
    <t>M - Práce a dodávky M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</si>
  <si>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</si>
  <si>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</si>
  <si>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</si>
  <si>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</si>
  <si>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</si>
  <si>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</si>
  <si>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</si>
  <si>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</si>
  <si>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</si>
  <si>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</si>
  <si>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</si>
  <si>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</si>
  <si>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</si>
  <si>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</si>
  <si>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</si>
  <si>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</si>
  <si>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</si>
  <si>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130201001.S</t>
  </si>
  <si>
    <t>m3</t>
  </si>
  <si>
    <t>4</t>
  </si>
  <si>
    <t>2</t>
  </si>
  <si>
    <t>1224647336</t>
  </si>
  <si>
    <t>139711101.S</t>
  </si>
  <si>
    <t>Výkop v uzavretých priestoroch s naložením výkopu na dopravný prostriedok v hornine 1 až 4</t>
  </si>
  <si>
    <t>835230113</t>
  </si>
  <si>
    <t>3</t>
  </si>
  <si>
    <t>162301121.S</t>
  </si>
  <si>
    <t>Vodorovné premiestnenie výkopku po spevnenej ceste z horniny tr.1-4, nad 100 do 1000 m3 na vzdialenosť nad 50 do 500 m</t>
  </si>
  <si>
    <t>2062339389</t>
  </si>
  <si>
    <t>162501123.S1</t>
  </si>
  <si>
    <t xml:space="preserve">Vodorovné premiestnenie výkopku po spevnenej ceste z horniny tr.1-4, nad 100 do 1000 m3, na vzdialenosť do 25 km </t>
  </si>
  <si>
    <t>-1220081166</t>
  </si>
  <si>
    <t>5</t>
  </si>
  <si>
    <t>167101100.S</t>
  </si>
  <si>
    <t>Nakladanie výkopku tr.1-4 ručne</t>
  </si>
  <si>
    <t>996827996</t>
  </si>
  <si>
    <t>6</t>
  </si>
  <si>
    <t>167101102.S</t>
  </si>
  <si>
    <t>Nakladanie neuľahnutého výkopku z hornín tr.1-4 nad 100 do 1000 m3</t>
  </si>
  <si>
    <t>-260241408</t>
  </si>
  <si>
    <t>7</t>
  </si>
  <si>
    <t>171201202.S</t>
  </si>
  <si>
    <t>Uloženie sypaniny na skládky nad 100 do 1000 m3</t>
  </si>
  <si>
    <t>1444472336</t>
  </si>
  <si>
    <t>8</t>
  </si>
  <si>
    <t>171209002.S</t>
  </si>
  <si>
    <t>Poplatok za skládku - zemina a kamenivo (17 05) ostatné</t>
  </si>
  <si>
    <t>t</t>
  </si>
  <si>
    <t>-1220245749</t>
  </si>
  <si>
    <t>9</t>
  </si>
  <si>
    <t>174101002.S</t>
  </si>
  <si>
    <t>Zásyp sypaninou so zhutnením jám, šachiet, rýh, zárezov alebo okolo objektov nad 100 do 1000 m3</t>
  </si>
  <si>
    <t>858531568</t>
  </si>
  <si>
    <t>Zakladanie</t>
  </si>
  <si>
    <t>10</t>
  </si>
  <si>
    <t>211571111.S</t>
  </si>
  <si>
    <t>Výplň odvodňovacieho rebra alebo trativodu do rýh s úpravou povrchu výplne štrkopieskom</t>
  </si>
  <si>
    <t>1527954873</t>
  </si>
  <si>
    <t>11</t>
  </si>
  <si>
    <t>211971121.S</t>
  </si>
  <si>
    <t>Zhotov. oplášt. výplne z geotext. v ryhe alebo v záreze pri rozvinutej šírke oplášt. od 0 do 2, 5 m</t>
  </si>
  <si>
    <t>m2</t>
  </si>
  <si>
    <t>-396952339</t>
  </si>
  <si>
    <t>12</t>
  </si>
  <si>
    <t>M</t>
  </si>
  <si>
    <t>693110004500.S</t>
  </si>
  <si>
    <t>Geotextília polypropylénová netkaná 300 g/m2</t>
  </si>
  <si>
    <t>-918673238</t>
  </si>
  <si>
    <t>13</t>
  </si>
  <si>
    <t>212752125.S</t>
  </si>
  <si>
    <t>Trativody z flexodrenážnych rúr DN 100</t>
  </si>
  <si>
    <t>m</t>
  </si>
  <si>
    <t>-1579936385</t>
  </si>
  <si>
    <t>16</t>
  </si>
  <si>
    <t>289904122.S</t>
  </si>
  <si>
    <t>Vysekanie spoj. hmoty hĺbky do 30mm z lomového kameňa stredn.,  -0,01800t</t>
  </si>
  <si>
    <t>-2083168554</t>
  </si>
  <si>
    <t>Zvislé a kompletné konštrukcie</t>
  </si>
  <si>
    <t>311208456.S</t>
  </si>
  <si>
    <t>Dodatočná izolácia vlhkého muriva tlakovou injektážou kremičitým roztokom pre hrúbku muriva do 500 mm</t>
  </si>
  <si>
    <t>-2145398156</t>
  </si>
  <si>
    <t>311208457.S</t>
  </si>
  <si>
    <t>Dodatočná izolácia vlhkého muriva tlakovou injektážou kremičitým roztokom pre hrúbku muriva do 600 mm</t>
  </si>
  <si>
    <t>281189786</t>
  </si>
  <si>
    <t>súb.</t>
  </si>
  <si>
    <t>317165122</t>
  </si>
  <si>
    <t>ks</t>
  </si>
  <si>
    <t>-1780659439</t>
  </si>
  <si>
    <t>32</t>
  </si>
  <si>
    <t>317165123</t>
  </si>
  <si>
    <t>-1115189898</t>
  </si>
  <si>
    <t>317944311.S</t>
  </si>
  <si>
    <t>Valcované nosníky dodatočne osadzované do pripravených otvorov bez zamurovania hláv do č.12</t>
  </si>
  <si>
    <t>476691828</t>
  </si>
  <si>
    <t>317944313.S</t>
  </si>
  <si>
    <t>Valcované nosníky dodatočne osadzované do pripravených otvorov bez zamurovania hláv č.14 až 22</t>
  </si>
  <si>
    <t>181095062</t>
  </si>
  <si>
    <t>319201311.S</t>
  </si>
  <si>
    <t>Vyrovnanie nerovného povrchu bez odsekania tehál hr.do 30 mm</t>
  </si>
  <si>
    <t>1823453412</t>
  </si>
  <si>
    <t>340001001.S1</t>
  </si>
  <si>
    <t>Rezanie tehlového muriva hr. od 500 do 600 mm</t>
  </si>
  <si>
    <t>-1000760341</t>
  </si>
  <si>
    <t>340239237</t>
  </si>
  <si>
    <t>651384816</t>
  </si>
  <si>
    <t>340239238</t>
  </si>
  <si>
    <t>-1642633853</t>
  </si>
  <si>
    <t>342272104</t>
  </si>
  <si>
    <t>-1451139959</t>
  </si>
  <si>
    <t>342948111.S</t>
  </si>
  <si>
    <t>Ukotvenie priečok k murovaným konštrukciám priklincovaním spojky do ložnej škáry počas murovania</t>
  </si>
  <si>
    <t>-51170389</t>
  </si>
  <si>
    <t>342948116.S</t>
  </si>
  <si>
    <t>Ukončenie priečok hr. nad 100 mm ku konštrukciám polyuretánovou penou</t>
  </si>
  <si>
    <t>869891428</t>
  </si>
  <si>
    <t>Úpravy povrchov, podlahy, osadenie</t>
  </si>
  <si>
    <t>611464231</t>
  </si>
  <si>
    <t>-1092154002</t>
  </si>
  <si>
    <t>611481119.S</t>
  </si>
  <si>
    <t>Potiahnutie vnútorných stropov sklotextilnou mriežkou s celoplošným prilepením</t>
  </si>
  <si>
    <t>-1325034315</t>
  </si>
  <si>
    <t>612465113.S</t>
  </si>
  <si>
    <t>Vnútorný sanačný systém stien, sanačný prednástrek cementový, krytie 100%</t>
  </si>
  <si>
    <t>1597647085</t>
  </si>
  <si>
    <t>612465123.S</t>
  </si>
  <si>
    <t>Vnútorný sanačný systém stien s obsahom cementu, podkladová / vyrovnávacia omietka, hr. 20 mm</t>
  </si>
  <si>
    <t>-765821529</t>
  </si>
  <si>
    <t>612465281.S</t>
  </si>
  <si>
    <t>Vnútorný sanačný systém stien, vodný roztok pre ošetrenie muriva poškodeného soľami, 1 vrstva</t>
  </si>
  <si>
    <t>697423548</t>
  </si>
  <si>
    <t>622422322.S</t>
  </si>
  <si>
    <t>Oprava vonkajších omietok stien zo suchých zmesí, štukových, členitosť II, opravovaná plocha nad 20% do 30%</t>
  </si>
  <si>
    <t>-2079609023</t>
  </si>
  <si>
    <t>622460111.S</t>
  </si>
  <si>
    <t>Príprava vonkajšieho podkladu stien na silno a nerovnomerne nasiakavé podklady regulátorom nasiakavosti</t>
  </si>
  <si>
    <t>-2041448429</t>
  </si>
  <si>
    <t>622460114.S</t>
  </si>
  <si>
    <t>Príprava vonkajšieho podkladu stien na hladké nenasiakavé podklady adhéznym mostíkom difúzne otvoreným</t>
  </si>
  <si>
    <t>551563705</t>
  </si>
  <si>
    <t>622468001</t>
  </si>
  <si>
    <t>1532459455</t>
  </si>
  <si>
    <t>622468075</t>
  </si>
  <si>
    <t>-1074268344</t>
  </si>
  <si>
    <t>622475001.S</t>
  </si>
  <si>
    <t>Vonkajší náter stien proti pôsobeniu rias a mikroorganizmov, nanášaný ručne, dvojnásobný</t>
  </si>
  <si>
    <t>-902754472</t>
  </si>
  <si>
    <t>622481119.S</t>
  </si>
  <si>
    <t>Potiahnutie vonkajších stien sklotextilnou mriežkou s celoplošným prilepením</t>
  </si>
  <si>
    <t>-493454574</t>
  </si>
  <si>
    <t>6224913662</t>
  </si>
  <si>
    <t>-2098686089</t>
  </si>
  <si>
    <t>6252505112</t>
  </si>
  <si>
    <t>Systém ochrany armovacej hmoty  pred zvýšenou vlhkosťou Flexy stierka hr. 1mm</t>
  </si>
  <si>
    <t>-1089274960</t>
  </si>
  <si>
    <t>6252581031</t>
  </si>
  <si>
    <t>-156483333</t>
  </si>
  <si>
    <t>6252582892</t>
  </si>
  <si>
    <t>-148451890</t>
  </si>
  <si>
    <t>99</t>
  </si>
  <si>
    <t>632452684.S</t>
  </si>
  <si>
    <t>Cementová samonivelizačná stierka, pevnosti v tlaku 30 MPa, hr. 5 mm</t>
  </si>
  <si>
    <t>961413523</t>
  </si>
  <si>
    <t>Ostatné konštrukcie a práce-búranie</t>
  </si>
  <si>
    <t>941941041.S</t>
  </si>
  <si>
    <t>Montáž lešenia ľahkého pracovného radového s podlahami šírky nad 1,00 do 1,20 m, výšky do 10 m</t>
  </si>
  <si>
    <t>-1538969421</t>
  </si>
  <si>
    <t>941941291.S</t>
  </si>
  <si>
    <t>Príplatok za prvý a každý ďalší i začatý mesiac použitia lešenia ľahkého pracovného radového s podlahami šírky nad 1,00 do 1,20 m, výšky do 10 m</t>
  </si>
  <si>
    <t>1153936170</t>
  </si>
  <si>
    <t>941941841.S</t>
  </si>
  <si>
    <t>Demontáž lešenia ľahkého pracovného radového s podlahami šírky nad 1,00 do 1,20 m, výšky do 10 m</t>
  </si>
  <si>
    <t>-928194410</t>
  </si>
  <si>
    <t>941955002.S</t>
  </si>
  <si>
    <t>Lešenie ľahké pracovné pomocné s výškou lešeňovej podlahy nad 1,20 do 1,90 m</t>
  </si>
  <si>
    <t>-330274804</t>
  </si>
  <si>
    <t>944944103.S</t>
  </si>
  <si>
    <t>Ochranná sieť na boku lešenia</t>
  </si>
  <si>
    <t>-1617978885</t>
  </si>
  <si>
    <t>944944803.S</t>
  </si>
  <si>
    <t>Demontáž ochrannej siete na boku lešenia</t>
  </si>
  <si>
    <t>1864027538</t>
  </si>
  <si>
    <t>952901111.S</t>
  </si>
  <si>
    <t>Vyčistenie budov pri výške podlaží do 4 m</t>
  </si>
  <si>
    <t>-7593760</t>
  </si>
  <si>
    <t>952903012.S</t>
  </si>
  <si>
    <t>Čistenie fasád tlakovou vodou od prachu, usadenín a pavučín z pojazdnej plošiny</t>
  </si>
  <si>
    <t>-1506453313</t>
  </si>
  <si>
    <t>953993115.S</t>
  </si>
  <si>
    <t>Montáž profilu fasádneho dekoračného z EPS výšky nad 200 do 250 mm</t>
  </si>
  <si>
    <t>904853751</t>
  </si>
  <si>
    <t>283720035185.S</t>
  </si>
  <si>
    <t>1508032290</t>
  </si>
  <si>
    <t>959941131.S</t>
  </si>
  <si>
    <t>Chemická kotva s kotevným svorníkom tesnená chemickou ampulkou do betónu, ŽB, kameňa, s vyvŕtaním otvoru M16/20/165 mm</t>
  </si>
  <si>
    <t>-1249764000</t>
  </si>
  <si>
    <t>961055111.S</t>
  </si>
  <si>
    <t>Búranie základov alebo vybúranie otvorov plochy nad 4 m2 v základoch železobetónových,  -2,40000t</t>
  </si>
  <si>
    <t>-1634191486</t>
  </si>
  <si>
    <t>962031132.S</t>
  </si>
  <si>
    <t>Búranie priečok alebo vybúranie otvorov plochy nad 4 m2 z tehál pálených, plných alebo dutých hr. do 150 mm,  -0,19600t</t>
  </si>
  <si>
    <t>-548655298</t>
  </si>
  <si>
    <t>962032231.S</t>
  </si>
  <si>
    <t>Búranie muriva alebo vybúranie otvorov plochy nad 4 m2 nadzákladového z tehál pálených, vápenopieskových, cementových na maltu,  -1,90500t</t>
  </si>
  <si>
    <t>1504404240</t>
  </si>
  <si>
    <t>965044201.S</t>
  </si>
  <si>
    <t>Brúsenie existujúcich betónových podláh, zbrúsenie hrúbky do 3 mm -0,00600t</t>
  </si>
  <si>
    <t>639466392</t>
  </si>
  <si>
    <t>965081712.S</t>
  </si>
  <si>
    <t>Búranie dlažieb, bez podklad. lôžka  keramických dlaždíc hr. do 10 mm,  -0,02000t</t>
  </si>
  <si>
    <t>520067268</t>
  </si>
  <si>
    <t>965081812.S</t>
  </si>
  <si>
    <t>Búranie dlažieb, z kamena., hr. nad 10 mm,  -0,06500t</t>
  </si>
  <si>
    <t>1326817166</t>
  </si>
  <si>
    <t>968061112.S</t>
  </si>
  <si>
    <t>Vyvesenie dreveného okenného krídla do suti plochy do 1,5 m2, -0,01200t</t>
  </si>
  <si>
    <t>1575144677</t>
  </si>
  <si>
    <t>968061125.S</t>
  </si>
  <si>
    <t>Vyvesenie dreveného dverného krídla do suti plochy do 2 m2, -0,02400t</t>
  </si>
  <si>
    <t>1431339402</t>
  </si>
  <si>
    <t>968062354.S</t>
  </si>
  <si>
    <t>Vybúranie drevených rámov okien dvojitých alebo zdvojených, plochy do 1 m2,  -0,07500t</t>
  </si>
  <si>
    <t>-699407537</t>
  </si>
  <si>
    <t>968062356.S</t>
  </si>
  <si>
    <t>Vybúranie drevených rámov okien dvojitých alebo zdvojených, plochy do 4 m2,  -0,05400t</t>
  </si>
  <si>
    <t>-593085910</t>
  </si>
  <si>
    <t>968072455.S</t>
  </si>
  <si>
    <t>Vybúranie kovových dverových zárubní plochy do 2 m2,  -0,07600t</t>
  </si>
  <si>
    <t>62571757</t>
  </si>
  <si>
    <t>968072456.S</t>
  </si>
  <si>
    <t>Vybúranie kovových dverových zárubní plochy nad 2 m2,  -0,06300t</t>
  </si>
  <si>
    <t>-1898229422</t>
  </si>
  <si>
    <t>974031155.S</t>
  </si>
  <si>
    <t>Vysekávanie rýh v akomkoľvek murive tehlovom na akúkoľvek maltu do hĺbky 100 mm a š. do 200 mm,  -0,03800t</t>
  </si>
  <si>
    <t>-41301590</t>
  </si>
  <si>
    <t>976061111.S</t>
  </si>
  <si>
    <t>Vybúranie drevených zábradlí a madiel,  -0,01600t</t>
  </si>
  <si>
    <t>-229146763</t>
  </si>
  <si>
    <t>976071111.S</t>
  </si>
  <si>
    <t>Vybúranie kovových madiel a zábradlí,  -0,03700t</t>
  </si>
  <si>
    <t>146870438</t>
  </si>
  <si>
    <t>978015291.S</t>
  </si>
  <si>
    <t>Otlčenie omietok vonkajších priečelí jednoduchých, s vyškriabaním škár, očistením muriva, v rozsahu do 100 %,  -0,05900t</t>
  </si>
  <si>
    <t>-1776160845</t>
  </si>
  <si>
    <t>978015391.S</t>
  </si>
  <si>
    <t>Otlčenie omietok vonkajších priečelí zložitejších, s vyškriabaním škár, očistením muriva, v rozsahu do 100 %,  -0,05900t</t>
  </si>
  <si>
    <t>-908095589</t>
  </si>
  <si>
    <t>978021191.S</t>
  </si>
  <si>
    <t>Otlčenie omietok stien vnútorných cementových v rozsahu do 100 %,  -0,06100t</t>
  </si>
  <si>
    <t>1051430898</t>
  </si>
  <si>
    <t>978059531.S</t>
  </si>
  <si>
    <t>Odsekanie a odobratie obkladov stien z obkladačiek vnútorných vrátane podkladovej omietky nad 2 m2,  -0,06800t</t>
  </si>
  <si>
    <t>-784543400</t>
  </si>
  <si>
    <t>978059611.S</t>
  </si>
  <si>
    <t>Odsekanie a odobratie obkladov stien z obkladačiek vonkajších vrátane podkladovej omietky do 2 m2,  -0,08900t</t>
  </si>
  <si>
    <t>-1844909246</t>
  </si>
  <si>
    <t>979011201.S</t>
  </si>
  <si>
    <t>Plastový sklz na stavebnú sutinu výšky do 10 m</t>
  </si>
  <si>
    <t>-72911738</t>
  </si>
  <si>
    <t>979011231.S</t>
  </si>
  <si>
    <t>Demontáž sklzu na stavebnú sutinu výšky do 10 m</t>
  </si>
  <si>
    <t>1682093510</t>
  </si>
  <si>
    <t>979081111.S</t>
  </si>
  <si>
    <t>Odvoz sutiny a vybúraných hmôt na skládku do 1 km</t>
  </si>
  <si>
    <t>-413589099</t>
  </si>
  <si>
    <t>979081121.S</t>
  </si>
  <si>
    <t>Odvoz sutiny a vybúraných hmôt na skládku za každý ďalší 1 km</t>
  </si>
  <si>
    <t>-1381623850</t>
  </si>
  <si>
    <t>979082111.S</t>
  </si>
  <si>
    <t>Vnútrostavenisková doprava sutiny a vybúraných hmôt do 10 m</t>
  </si>
  <si>
    <t>-735529641</t>
  </si>
  <si>
    <t>979089012.S</t>
  </si>
  <si>
    <t>Poplatok za skládku - betón, tehly, dlaždice (17 01) ostatné</t>
  </si>
  <si>
    <t>-807580375</t>
  </si>
  <si>
    <t>979089112.S</t>
  </si>
  <si>
    <t>Poplatok za skládku - drevo, sklo, plasty (17 02 ), ostatné</t>
  </si>
  <si>
    <t>1095781098</t>
  </si>
  <si>
    <t>979089212.S</t>
  </si>
  <si>
    <t>Poplatok za skládku - bitúmenové zmesi, uholný decht, dechtové výrobky (17 03 ), ostatné</t>
  </si>
  <si>
    <t>1280809880</t>
  </si>
  <si>
    <t>979089312.S</t>
  </si>
  <si>
    <t>Poplatok za skládku - kovy (meď, bronz, mosadz atď.) (17 04 ), ostatné</t>
  </si>
  <si>
    <t>-843997693</t>
  </si>
  <si>
    <t>979089712.S</t>
  </si>
  <si>
    <t>Prenájom kontajneru 5 m3</t>
  </si>
  <si>
    <t>377459825</t>
  </si>
  <si>
    <t>Presun hmôt HSV</t>
  </si>
  <si>
    <t>999281111.S</t>
  </si>
  <si>
    <t>Presun hmôt pre opravy a údržbu objektov vrátane vonkajších plášťov výšky do 25 m</t>
  </si>
  <si>
    <t>1121808846</t>
  </si>
  <si>
    <t>PSV</t>
  </si>
  <si>
    <t>Práce a dodávky PSV</t>
  </si>
  <si>
    <t>711</t>
  </si>
  <si>
    <t>Izolácie proti vode a vlhkosti</t>
  </si>
  <si>
    <t>711111001.S</t>
  </si>
  <si>
    <t>Zhotovenie izolácie proti zemnej vlhkosti vodorovná náterom penetračným za studena</t>
  </si>
  <si>
    <t>-1419750009</t>
  </si>
  <si>
    <t>711112001.S</t>
  </si>
  <si>
    <t>Zhotovenie  izolácie proti zemnej vlhkosti zvislá penetračným náterom za studena</t>
  </si>
  <si>
    <t>506806466</t>
  </si>
  <si>
    <t>R24202</t>
  </si>
  <si>
    <t>Siplast Primer Speed SBS  10 l, alebo výrobok s rovnakými technickými vlastnosťami</t>
  </si>
  <si>
    <t>-800373241</t>
  </si>
  <si>
    <t>711141559.S</t>
  </si>
  <si>
    <t>Zhotovenie  izolácie proti zemnej vlhkosti a tlakovej vode vodorovná NAIP pritavením</t>
  </si>
  <si>
    <t>-491639462</t>
  </si>
  <si>
    <t>711142559.S</t>
  </si>
  <si>
    <t>Zhotovenie  izolácie proti zemnej vlhkosti a tlakovej vode zvislá NAIP pritavením</t>
  </si>
  <si>
    <t>2114320113</t>
  </si>
  <si>
    <t>N21112</t>
  </si>
  <si>
    <t>FUNDAMENT 4.0 Speed Profile, alebo výrobok s rovnakými technickými vlastnosťami</t>
  </si>
  <si>
    <t>1598277292</t>
  </si>
  <si>
    <t>711211051.S1</t>
  </si>
  <si>
    <t>-189966111</t>
  </si>
  <si>
    <t>711212051.S1</t>
  </si>
  <si>
    <t>-690518285</t>
  </si>
  <si>
    <t>245610003500</t>
  </si>
  <si>
    <t>Páska tesniaca špeciálna ASO-DICHTBAND 2000-S, pre náročné aplikácie s vysokým zaťažením, 120 mm/50 m, alebo výrobok s rovnakými technickými vlastnosťami</t>
  </si>
  <si>
    <t>-1540558838</t>
  </si>
  <si>
    <t>998711202.S</t>
  </si>
  <si>
    <t>Presun hmôt pre izoláciu proti vode v objektoch výšky nad 6 do 12 m</t>
  </si>
  <si>
    <t>%</t>
  </si>
  <si>
    <t>-350878621</t>
  </si>
  <si>
    <t>713</t>
  </si>
  <si>
    <t>Izolácie tepelné</t>
  </si>
  <si>
    <t>713131135.S</t>
  </si>
  <si>
    <t>-1483922050</t>
  </si>
  <si>
    <t>631440042200.S</t>
  </si>
  <si>
    <t>1628457705</t>
  </si>
  <si>
    <t>713132211.S</t>
  </si>
  <si>
    <t>Montáž tepelnej izolácie podzemných stien a základov xps celoplošným prilepením</t>
  </si>
  <si>
    <t>219420513</t>
  </si>
  <si>
    <t>283750002600.S</t>
  </si>
  <si>
    <t>Doska XPS 300 hr. 200 mm, zakladanie stavieb, podlahy, obrátené ploché strechy</t>
  </si>
  <si>
    <t>19752482</t>
  </si>
  <si>
    <t>713161530.S</t>
  </si>
  <si>
    <t>Montáž tepelnej izolácie striech šikmých prichytená pribitím a vyviazaním na latovanie medzi a pod krokvy hr. nad 10 cm</t>
  </si>
  <si>
    <t>1968380522</t>
  </si>
  <si>
    <t>631640001300.S</t>
  </si>
  <si>
    <t>1262931566</t>
  </si>
  <si>
    <t>998713202.S</t>
  </si>
  <si>
    <t>Presun hmôt pre izolácie tepelné v objektoch výšky nad 6 m do 12 m</t>
  </si>
  <si>
    <t>-344462358</t>
  </si>
  <si>
    <t>725</t>
  </si>
  <si>
    <t>Zdravotechnika - zariaďovacie predmety</t>
  </si>
  <si>
    <t>725110814.S</t>
  </si>
  <si>
    <t>Demontáž záchoda odsávacieho alebo kombinačného,  -0,03420t</t>
  </si>
  <si>
    <t>304431211</t>
  </si>
  <si>
    <t>725130811.S</t>
  </si>
  <si>
    <t>Demontáž pisoárového státia 1 dielnych,  -0,03968t</t>
  </si>
  <si>
    <t>286011960</t>
  </si>
  <si>
    <t>725210821.S</t>
  </si>
  <si>
    <t>Demontáž umývadiel alebo umývadielok bez výtokovej armatúry,  -0,01946t</t>
  </si>
  <si>
    <t>2120837308</t>
  </si>
  <si>
    <t>725810812.S</t>
  </si>
  <si>
    <t>Demontáž výtokového ventilu stojankových,  -0,00054t</t>
  </si>
  <si>
    <t>1050374238</t>
  </si>
  <si>
    <t>725820802.S</t>
  </si>
  <si>
    <t>Demontáž batérie stojankovej do 1 otvoru,  -0,00086t</t>
  </si>
  <si>
    <t>264385525</t>
  </si>
  <si>
    <t>725820810.S</t>
  </si>
  <si>
    <t>Demontáž batérie drezovej, umývadlovej nástennej,  -0,0026t</t>
  </si>
  <si>
    <t>-307681001</t>
  </si>
  <si>
    <t>725860820.S</t>
  </si>
  <si>
    <t>Demontáž jednoduchej zápachovej uzávierky pre zariaďovacie predmety, umývadlá, drezy, práčky  -0,00085t</t>
  </si>
  <si>
    <t>-572696506</t>
  </si>
  <si>
    <t>762</t>
  </si>
  <si>
    <t>Konštrukcie tesárske</t>
  </si>
  <si>
    <t xml:space="preserve">Rezivo stavebné zo smreku - strešné laty impregnované hr. 50 mm, š. 50 mm, dĺ. 4000-5000 mm, </t>
  </si>
  <si>
    <t>607260000450.S</t>
  </si>
  <si>
    <t>Doska OSB nebrúsená hr. 25 mm</t>
  </si>
  <si>
    <t>762331812.S</t>
  </si>
  <si>
    <t>Demontáž viazaných konštrukcií krovov so sklonom do 60°, prierezovej plochy 120 - 224 cm2, -0,01400 t</t>
  </si>
  <si>
    <t>1902197880</t>
  </si>
  <si>
    <t>762333130.S</t>
  </si>
  <si>
    <t>Montáž viazaných konštrukcií krovov striech nepravidelného pôdorysu z reziva plochy 224 - 288 cm2</t>
  </si>
  <si>
    <t>636510395</t>
  </si>
  <si>
    <t>605420000300</t>
  </si>
  <si>
    <t>1334025830</t>
  </si>
  <si>
    <t>762341004.S</t>
  </si>
  <si>
    <t>Montáž debnenia jednoduchých striech, na krokvy a kontralaty z dosiek na zraz</t>
  </si>
  <si>
    <t>1237665501</t>
  </si>
  <si>
    <t>605460002503.S</t>
  </si>
  <si>
    <t>Dosky hobľované zo smreku 170x30 mm, sušené 14±2%, triedy 3A STN 480055, bez defektov, hniloby, hrčí</t>
  </si>
  <si>
    <t>2006449943</t>
  </si>
  <si>
    <t>762341011.S</t>
  </si>
  <si>
    <t>Montáž debnenia zložitých striech, na kontralaty drevotrieskovými OSB doskami na zráz</t>
  </si>
  <si>
    <t>-1410993480</t>
  </si>
  <si>
    <t>-652073038</t>
  </si>
  <si>
    <t>762341253.S</t>
  </si>
  <si>
    <t>Montáž kontralát pre sklon nad 35°</t>
  </si>
  <si>
    <t>1045757644</t>
  </si>
  <si>
    <t>605430000303</t>
  </si>
  <si>
    <t>-932554867</t>
  </si>
  <si>
    <t>247710007800</t>
  </si>
  <si>
    <t>-338346957</t>
  </si>
  <si>
    <t>762341811.S</t>
  </si>
  <si>
    <t>Demontáž debnenia striech rovných, oblúkových do 60° z dosiek hrubých, hobľovaných, -0,01600 t</t>
  </si>
  <si>
    <t>-396119374</t>
  </si>
  <si>
    <t>762342812.S</t>
  </si>
  <si>
    <t>Demontáž latovania striech so sklonom do 60° pri osovej vzdialenosti lát 0,22 - 0,50 m, -0,00500 t</t>
  </si>
  <si>
    <t>1049132602</t>
  </si>
  <si>
    <t>762395000.S</t>
  </si>
  <si>
    <t>Spojovacie prostriedky pre viazané konštrukcie krovov, debnenie a laťovanie, nadstrešné konštr., spádové kliny - svorky, dosky, klince, pásová oceľ, vruty</t>
  </si>
  <si>
    <t>1447783177</t>
  </si>
  <si>
    <t>998762203.S</t>
  </si>
  <si>
    <t>Presun hmôt pre konštrukcie tesárske v objektoch výšky od 12 do 24 m</t>
  </si>
  <si>
    <t>-1988403815</t>
  </si>
  <si>
    <t>763</t>
  </si>
  <si>
    <t>Konštrukcie - drevostavby</t>
  </si>
  <si>
    <t>763112132</t>
  </si>
  <si>
    <t>1119297309</t>
  </si>
  <si>
    <t>763116522.S</t>
  </si>
  <si>
    <t>-604431911</t>
  </si>
  <si>
    <t>763124131</t>
  </si>
  <si>
    <t>1424017404</t>
  </si>
  <si>
    <t>7631322602</t>
  </si>
  <si>
    <t>960977136</t>
  </si>
  <si>
    <t>7631322603</t>
  </si>
  <si>
    <t>-1995101240</t>
  </si>
  <si>
    <t>763147111.S</t>
  </si>
  <si>
    <t>Obklad steny sadrokartónom hr. konštrukcie 25 mm, doska štandardná 12,5 mm</t>
  </si>
  <si>
    <t>1723499227</t>
  </si>
  <si>
    <t>763163313.S</t>
  </si>
  <si>
    <t>Podkrovie SDK na oceľovej konštrukcií CD+UD a závesoch s parozábranou, doska štandardná A 2x12.5 mm, TI 160 mm</t>
  </si>
  <si>
    <t>-1313104284</t>
  </si>
  <si>
    <t>283290004500.S</t>
  </si>
  <si>
    <t>1423085032</t>
  </si>
  <si>
    <t>247710001000.S</t>
  </si>
  <si>
    <t>-499010751</t>
  </si>
  <si>
    <t>998763201.S</t>
  </si>
  <si>
    <t>Presun hmôt pre drevostavby v objektoch výšky do 12 m</t>
  </si>
  <si>
    <t>2051952626</t>
  </si>
  <si>
    <t>764</t>
  </si>
  <si>
    <t>Konštrukcie klampiarske</t>
  </si>
  <si>
    <t>764312822.S</t>
  </si>
  <si>
    <t>Demontáž krytiny hladkej strešnej z tabúľ 2000 x 670 mm, do 30st.,  -0,00751t</t>
  </si>
  <si>
    <t>209384410</t>
  </si>
  <si>
    <t>764313001.S</t>
  </si>
  <si>
    <t>Oddeľovacia štruktúrovaná rohož s integrovanou poistnou hydroizoláciou pre krytiny z pozinkovaného farbeného plechu</t>
  </si>
  <si>
    <t>-317509143</t>
  </si>
  <si>
    <t>764313282.S</t>
  </si>
  <si>
    <t>Krytiny hladké z pozinkovaného farbeného PZf plechu, zo zvitkov šírky 670 mm, sklon nad 30° do 45°</t>
  </si>
  <si>
    <t>-195452308</t>
  </si>
  <si>
    <t>764327220.S</t>
  </si>
  <si>
    <t>Oplechovanie z pozinkovaného farbeného PZf plechu, odkvapov na strechách s tvrdou krytinou r.š. 330 mm</t>
  </si>
  <si>
    <t>-1418748640</t>
  </si>
  <si>
    <t>283810002200.S</t>
  </si>
  <si>
    <t>Ochranná vetracia mriežka proti hmyzu, výška 50 mm</t>
  </si>
  <si>
    <t>-1325830019</t>
  </si>
  <si>
    <t>764348401.S</t>
  </si>
  <si>
    <t>Snehové zachytávače z pozinkovaného farebného PZf plechu, jednoradové</t>
  </si>
  <si>
    <t>854977090</t>
  </si>
  <si>
    <t>764348402.S</t>
  </si>
  <si>
    <t>Snehové zachytávače z pozinkovaného farebného PZf plechu, dvojradové</t>
  </si>
  <si>
    <t>-153202061</t>
  </si>
  <si>
    <t>764351403.S</t>
  </si>
  <si>
    <t>Žľaby z pozinkovaného farbeného PZf plechu, pododkvapové štvorhranné r.š. 330 mm</t>
  </si>
  <si>
    <t>1366545065</t>
  </si>
  <si>
    <t>764352427.S</t>
  </si>
  <si>
    <t>Žľaby z pozinkovaného farbeného PZf plechu, pododkvapové polkruhové r.š. 330 mm</t>
  </si>
  <si>
    <t>1613093949</t>
  </si>
  <si>
    <t>764352810.S</t>
  </si>
  <si>
    <t>Demontáž žľabov pododkvapových polkruhových so sklonom do 30st. rš 330 mm,  -0,00330t</t>
  </si>
  <si>
    <t>2123404543</t>
  </si>
  <si>
    <t>764359412.S</t>
  </si>
  <si>
    <t>Kotlík kónický z pozinkovaného farbeného PZf plechu, pre rúry s priemerom od 100 do 125 mm</t>
  </si>
  <si>
    <t>1856183563</t>
  </si>
  <si>
    <t>764359432.S</t>
  </si>
  <si>
    <t>Kotlík štvorhranný z pozinkovaného farbeného PZf plechu, pre pododkvapové žľaby rozmerov 200x300x400 mm</t>
  </si>
  <si>
    <t>-175280289</t>
  </si>
  <si>
    <t>764359511.S</t>
  </si>
  <si>
    <t>Montáž príslušenstva k žľabom z pozinkovaného farbeného PZf plechu, čelo k pododkvapovým polkruhovým r.š. 200 - 400 mm</t>
  </si>
  <si>
    <t>-417385859</t>
  </si>
  <si>
    <t>553440000600.S</t>
  </si>
  <si>
    <t>Čelo lisované polkruhové pozink farebný, rozmer 330 mm</t>
  </si>
  <si>
    <t>1774743318</t>
  </si>
  <si>
    <t>764391420.S</t>
  </si>
  <si>
    <t>Záveterná lišta z pozinkovaného farbeného PZf plechu, r.š. 330 mm</t>
  </si>
  <si>
    <t>995646286</t>
  </si>
  <si>
    <t>764392440.S</t>
  </si>
  <si>
    <t>Úžľabie z pozinkovaného farbeného PZf plechu, r.š. 500 mm</t>
  </si>
  <si>
    <t>1344362694</t>
  </si>
  <si>
    <t>764393430.S</t>
  </si>
  <si>
    <t>Hrebeň strechy z pozinkovaného farbeného PZf plechu, r.š. 400 mm</t>
  </si>
  <si>
    <t>-1683804137</t>
  </si>
  <si>
    <t>764410420.S1</t>
  </si>
  <si>
    <t>1099325080</t>
  </si>
  <si>
    <t>764410440.S1</t>
  </si>
  <si>
    <t>-1741405059</t>
  </si>
  <si>
    <t>764410850.S</t>
  </si>
  <si>
    <t>Demontáž oplechovania parapetov rš od 100 do 330 mm,  -0,00135t</t>
  </si>
  <si>
    <t>1293359565</t>
  </si>
  <si>
    <t>764421830.S</t>
  </si>
  <si>
    <t>Demontáž oplechovania ríms rš od 100 do 200 mm,  -0,00009t</t>
  </si>
  <si>
    <t>-1139108990</t>
  </si>
  <si>
    <t>764421850.S</t>
  </si>
  <si>
    <t>Demontáž oplechovania ríms rš od 250 do 330 mm,  -0,00175t</t>
  </si>
  <si>
    <t>2111780240</t>
  </si>
  <si>
    <t>764451402.S</t>
  </si>
  <si>
    <t>Zvodové rúry z pozinkovaného farbeného PZf plechu, štvorcové s dĺžkou strany 100 mm</t>
  </si>
  <si>
    <t>205276977</t>
  </si>
  <si>
    <t>764454432.S</t>
  </si>
  <si>
    <t>Montáž kruhovej odbočky z pozinkovaného farbeného PZf plechu, pre zvodové rúry s priemerom 80 - 150 mm</t>
  </si>
  <si>
    <t>-1243765964</t>
  </si>
  <si>
    <t>553440005100.S</t>
  </si>
  <si>
    <t>Odbočka zvodová pozink farebný, priemer 100/100 mm</t>
  </si>
  <si>
    <t>1199959633</t>
  </si>
  <si>
    <t>764454434.S</t>
  </si>
  <si>
    <t>Montáž kruhových kolien z pozinkovaného farbeného PZf plechu, pre zvodové rúry s priemerom 60 - 150 mm</t>
  </si>
  <si>
    <t>-2027759400</t>
  </si>
  <si>
    <t>553440004100.S</t>
  </si>
  <si>
    <t>Koleno lisované pozink farebný 70°, priemer 100 mm</t>
  </si>
  <si>
    <t>-309432587</t>
  </si>
  <si>
    <t>764454451.S</t>
  </si>
  <si>
    <t>Zvodové rúry z pozinkovaného farbeného PZf plechu, kruhové priemer 60 mm</t>
  </si>
  <si>
    <t>-588726592</t>
  </si>
  <si>
    <t>764454453.S</t>
  </si>
  <si>
    <t>Zvodové rúry z pozinkovaného farbeného PZf plechu, kruhové priemer 100 mm</t>
  </si>
  <si>
    <t>776148590</t>
  </si>
  <si>
    <t>764454454.S</t>
  </si>
  <si>
    <t>Zvodové rúry z pozinkovaného farbeného PZf plechu, kruhové priemer 120 mm</t>
  </si>
  <si>
    <t>1458509240</t>
  </si>
  <si>
    <t>764454802.S</t>
  </si>
  <si>
    <t>Demontáž odpadových rúr kruhových, s priemerom 120 mm,  -0,00285t</t>
  </si>
  <si>
    <t>2098426517</t>
  </si>
  <si>
    <t>764456855.S</t>
  </si>
  <si>
    <t>Demontáž odpadového kolena výtokového kruhového, s priemerom 120,150 a 200 mm,  -0,00116t</t>
  </si>
  <si>
    <t>641588739</t>
  </si>
  <si>
    <t>998764203.S</t>
  </si>
  <si>
    <t>Presun hmôt pre konštrukcie klampiarske v objektoch výšky nad 12 do 24 m</t>
  </si>
  <si>
    <t>1929236828</t>
  </si>
  <si>
    <t>765</t>
  </si>
  <si>
    <t>Konštrukcie - krytiny tvrdé</t>
  </si>
  <si>
    <t>765901367.S</t>
  </si>
  <si>
    <t>Strešná fólia paropriepustná, na krokvy, sklon nad 35°, plošná hmotnosť 170 g/m2</t>
  </si>
  <si>
    <t>1214868714</t>
  </si>
  <si>
    <t>998765203.S</t>
  </si>
  <si>
    <t>Presun hmôt pre tvrdé krytiny v objektoch výšky nad 12 do 24 m</t>
  </si>
  <si>
    <t>-1560925350</t>
  </si>
  <si>
    <t>766</t>
  </si>
  <si>
    <t>Konštrukcie stolárske</t>
  </si>
  <si>
    <t>766112820.S</t>
  </si>
  <si>
    <t>Demontáž drevených stien zasklených,  -0,01638t</t>
  </si>
  <si>
    <t>2000318759</t>
  </si>
  <si>
    <t>766124100.S1</t>
  </si>
  <si>
    <t>Dodávka a montáž drevených stien záchodových (inštalačný blok WC) s dvoma krídlami alebo s jedným krídlom a dvierkami, výška 2,2m, laminovaná DTD, Al nosný systém</t>
  </si>
  <si>
    <t>-1948030293</t>
  </si>
  <si>
    <t>766411811.S</t>
  </si>
  <si>
    <t>Demontáž obloženia stien panelmi, veľ. do 1,5 m2,  -0,02465t</t>
  </si>
  <si>
    <t>-1363340925</t>
  </si>
  <si>
    <t>766411821.S</t>
  </si>
  <si>
    <t>Demontáž obloženia stien panelmi, palub. doskami,  -0,01098t</t>
  </si>
  <si>
    <t>1681083922</t>
  </si>
  <si>
    <t>766411822.S</t>
  </si>
  <si>
    <t>734720429</t>
  </si>
  <si>
    <t>7666621D12</t>
  </si>
  <si>
    <t>1235618893</t>
  </si>
  <si>
    <t>7666621D13</t>
  </si>
  <si>
    <t>-686013234</t>
  </si>
  <si>
    <t>7666621D14</t>
  </si>
  <si>
    <t>462682627</t>
  </si>
  <si>
    <t>7666621D14a</t>
  </si>
  <si>
    <t>675301495</t>
  </si>
  <si>
    <t>7666621D15</t>
  </si>
  <si>
    <t>286692657</t>
  </si>
  <si>
    <t>7666621D15a</t>
  </si>
  <si>
    <t>-687108056</t>
  </si>
  <si>
    <t>7666621D15b</t>
  </si>
  <si>
    <t>1086209287</t>
  </si>
  <si>
    <t>7666621D15c</t>
  </si>
  <si>
    <t>237216573</t>
  </si>
  <si>
    <t>7666621D15d</t>
  </si>
  <si>
    <t>-1157066279</t>
  </si>
  <si>
    <t>1146381194</t>
  </si>
  <si>
    <t>1100353805</t>
  </si>
  <si>
    <t>-167981668</t>
  </si>
  <si>
    <t>998766203.S</t>
  </si>
  <si>
    <t>Presun hmot pre konštrukcie stolárske v objektoch výšky nad 12 do 24 m</t>
  </si>
  <si>
    <t>1518488076</t>
  </si>
  <si>
    <t>767</t>
  </si>
  <si>
    <t>Konštrukcie doplnkové kovové</t>
  </si>
  <si>
    <t>7672211Z4</t>
  </si>
  <si>
    <t>905276918</t>
  </si>
  <si>
    <t>7672211Z3</t>
  </si>
  <si>
    <t>1103868203</t>
  </si>
  <si>
    <t>767221120.S7</t>
  </si>
  <si>
    <t>-407999043</t>
  </si>
  <si>
    <t>767221120.S8</t>
  </si>
  <si>
    <t>691992749</t>
  </si>
  <si>
    <t>7672211Z1a</t>
  </si>
  <si>
    <t>-609923153</t>
  </si>
  <si>
    <t>7672211Z1b</t>
  </si>
  <si>
    <t>1174304537</t>
  </si>
  <si>
    <t>7672211Z1c</t>
  </si>
  <si>
    <t>923496239</t>
  </si>
  <si>
    <t>7672211Z1d</t>
  </si>
  <si>
    <t>-884211452</t>
  </si>
  <si>
    <t>7672211Z1e</t>
  </si>
  <si>
    <t>164458220</t>
  </si>
  <si>
    <t>7672211Z2</t>
  </si>
  <si>
    <t>-866903023</t>
  </si>
  <si>
    <t>7672211Z5</t>
  </si>
  <si>
    <t>1408800879</t>
  </si>
  <si>
    <t>7672211Z6</t>
  </si>
  <si>
    <t>1103858239</t>
  </si>
  <si>
    <t>7672211Z7</t>
  </si>
  <si>
    <t>-1469879675</t>
  </si>
  <si>
    <t>7672211Z8</t>
  </si>
  <si>
    <t>328931940</t>
  </si>
  <si>
    <t>7672211Z9</t>
  </si>
  <si>
    <t>1419669520</t>
  </si>
  <si>
    <t>7672211Z9a</t>
  </si>
  <si>
    <t>1915526735</t>
  </si>
  <si>
    <t>7672211Z9b</t>
  </si>
  <si>
    <t>410933800</t>
  </si>
  <si>
    <t>7672211Z9c</t>
  </si>
  <si>
    <t>-2130378259</t>
  </si>
  <si>
    <t>7672211Z9d</t>
  </si>
  <si>
    <t>-637832680</t>
  </si>
  <si>
    <t>7672211Z9e</t>
  </si>
  <si>
    <t>-88305146</t>
  </si>
  <si>
    <t>7672211Z9f</t>
  </si>
  <si>
    <t>sub</t>
  </si>
  <si>
    <t>-646134923</t>
  </si>
  <si>
    <t>7672211Z9g</t>
  </si>
  <si>
    <t>510051753</t>
  </si>
  <si>
    <t>767330846.S</t>
  </si>
  <si>
    <t>80691193</t>
  </si>
  <si>
    <t>76761210O01</t>
  </si>
  <si>
    <t>-38981518</t>
  </si>
  <si>
    <t>76761210O02</t>
  </si>
  <si>
    <t>-1703788993</t>
  </si>
  <si>
    <t>76761210O03</t>
  </si>
  <si>
    <t>-1785981748</t>
  </si>
  <si>
    <t>76761210O04</t>
  </si>
  <si>
    <t>1084399992</t>
  </si>
  <si>
    <t>76761210O05</t>
  </si>
  <si>
    <t>1760157798</t>
  </si>
  <si>
    <t>76761210O06</t>
  </si>
  <si>
    <t>799983332</t>
  </si>
  <si>
    <t>76761210O06b</t>
  </si>
  <si>
    <t>-1332548563</t>
  </si>
  <si>
    <t>76761210O07</t>
  </si>
  <si>
    <t>635437786</t>
  </si>
  <si>
    <t>76761210O08</t>
  </si>
  <si>
    <t>1827454296</t>
  </si>
  <si>
    <t>76761210O09</t>
  </si>
  <si>
    <t>2016972708</t>
  </si>
  <si>
    <t>76761210O10</t>
  </si>
  <si>
    <t>2031091086</t>
  </si>
  <si>
    <t>76761210O11</t>
  </si>
  <si>
    <t>925876520</t>
  </si>
  <si>
    <t>76761210O13</t>
  </si>
  <si>
    <t>647607301</t>
  </si>
  <si>
    <t>76761210O13a</t>
  </si>
  <si>
    <t>1187186339</t>
  </si>
  <si>
    <t>76761210O14</t>
  </si>
  <si>
    <t>1792490524</t>
  </si>
  <si>
    <t>76761210O15</t>
  </si>
  <si>
    <t>-652473154</t>
  </si>
  <si>
    <t>76761210O15a</t>
  </si>
  <si>
    <t>-1381233357</t>
  </si>
  <si>
    <t>76761210O21</t>
  </si>
  <si>
    <t>-1720829826</t>
  </si>
  <si>
    <t>76761210O22</t>
  </si>
  <si>
    <t>612487626</t>
  </si>
  <si>
    <t>76761210O73a</t>
  </si>
  <si>
    <t>1995866144</t>
  </si>
  <si>
    <t>76761210O73b</t>
  </si>
  <si>
    <t>-899450426</t>
  </si>
  <si>
    <t>76761210O73c</t>
  </si>
  <si>
    <t>-1320961436</t>
  </si>
  <si>
    <t>998767203.S</t>
  </si>
  <si>
    <t>Presun hmôt pre kovové stavebné doplnkové konštrukcie v objektoch výšky nad 12 do 24 m</t>
  </si>
  <si>
    <t>-1301748714</t>
  </si>
  <si>
    <t>771</t>
  </si>
  <si>
    <t>Podlahy z dlaždíc</t>
  </si>
  <si>
    <t>771415015.S</t>
  </si>
  <si>
    <t>-811662281</t>
  </si>
  <si>
    <t>597740003413.S</t>
  </si>
  <si>
    <t>392816938</t>
  </si>
  <si>
    <t>771541226.S2</t>
  </si>
  <si>
    <t>Montáž podláh z dlaždíc gres kladených do tmelu flexibil. mrazuvzdorného v obmedzenom priestore veľ. 600 x 600 mm</t>
  </si>
  <si>
    <t>1429837004</t>
  </si>
  <si>
    <t>597740002106</t>
  </si>
  <si>
    <t>-993492033</t>
  </si>
  <si>
    <t>998771203.S</t>
  </si>
  <si>
    <t>Presun hmôt pre podlahy z dlaždíc v objektoch výšky nad 12 do 24 m</t>
  </si>
  <si>
    <t>2088892998</t>
  </si>
  <si>
    <t>772</t>
  </si>
  <si>
    <t>Podlahy z prírodného a konglomerovaného kameňa</t>
  </si>
  <si>
    <t>772211302.S</t>
  </si>
  <si>
    <t>Montáž obkladu schodiskových stupňov doskami z pravideľných tvarov hr. 30 mm</t>
  </si>
  <si>
    <t>-628610777</t>
  </si>
  <si>
    <t>583840010001.S</t>
  </si>
  <si>
    <t>882632015</t>
  </si>
  <si>
    <t>772402123.S</t>
  </si>
  <si>
    <t>Montáž obkladu soklov doskami z kameňa kaskádových na schodisku, zvisl., šik. stien s lícom rovným</t>
  </si>
  <si>
    <t>1328497889</t>
  </si>
  <si>
    <t>583840012803.S</t>
  </si>
  <si>
    <t>884730669</t>
  </si>
  <si>
    <t>772211413.S</t>
  </si>
  <si>
    <t>-404834639</t>
  </si>
  <si>
    <t>583840012403.S</t>
  </si>
  <si>
    <t>-1264459357</t>
  </si>
  <si>
    <t>772501140.S</t>
  </si>
  <si>
    <t>1791368433</t>
  </si>
  <si>
    <t>583840003325.S</t>
  </si>
  <si>
    <t>-1023101343</t>
  </si>
  <si>
    <t>998772202.S</t>
  </si>
  <si>
    <t>Presun hmôt pre kamennú dlažbu v objektoch výšky nad 6 do 12 m</t>
  </si>
  <si>
    <t>2073689956</t>
  </si>
  <si>
    <t>776</t>
  </si>
  <si>
    <t>Podlahy povlakové</t>
  </si>
  <si>
    <t>776420010.S</t>
  </si>
  <si>
    <t>1520236158</t>
  </si>
  <si>
    <t>284130001300.S</t>
  </si>
  <si>
    <t>Soklová lišta pre kaučukové podlahoviny, šxv 50x50 mm</t>
  </si>
  <si>
    <t>-2012914904</t>
  </si>
  <si>
    <t>776511820.S</t>
  </si>
  <si>
    <t>Odstránenie povlakových podláh z nášľapnej plochy lepených s podložkou,  -0,00100t</t>
  </si>
  <si>
    <t>1389495807</t>
  </si>
  <si>
    <t>776990105.S</t>
  </si>
  <si>
    <t>Vysávanie podkladu pred kladením povlakovýck podláh</t>
  </si>
  <si>
    <t>-505366184</t>
  </si>
  <si>
    <t>998776203.S</t>
  </si>
  <si>
    <t>Presun hmôt pre podlahy povlakové v objektoch výšky nad 12 do 24 m</t>
  </si>
  <si>
    <t>-1780417591</t>
  </si>
  <si>
    <t>781</t>
  </si>
  <si>
    <t>Obklady</t>
  </si>
  <si>
    <t>781445070.S</t>
  </si>
  <si>
    <t xml:space="preserve">Montáž obkladov vnútor. stien z obkladačiek kladených do tmelu v obmedzenom priestore </t>
  </si>
  <si>
    <t>-1305198907</t>
  </si>
  <si>
    <t>597740001413.S</t>
  </si>
  <si>
    <t>Obklad keramický hr. 8mm</t>
  </si>
  <si>
    <t>779891548</t>
  </si>
  <si>
    <t>781491111.S</t>
  </si>
  <si>
    <t>Montáž plastových profilov pre obklad do tmelu - roh steny</t>
  </si>
  <si>
    <t>-1376618656</t>
  </si>
  <si>
    <t>283410018230</t>
  </si>
  <si>
    <t>Profil ukončovací oblý uzavretý 6 mm PVC biely, 2,5 m,</t>
  </si>
  <si>
    <t>-23567715</t>
  </si>
  <si>
    <t>998781203.S</t>
  </si>
  <si>
    <t>Presun hmôt pre obklady keramické v objektoch výšky nad 12 do 24 m</t>
  </si>
  <si>
    <t>-1419264091</t>
  </si>
  <si>
    <t>783</t>
  </si>
  <si>
    <t>Nátery</t>
  </si>
  <si>
    <t>783180163.S</t>
  </si>
  <si>
    <t>Nátery oceľových konštrukcií protipožiarne vypeňovacie stredných B a plnostenných D, hr. 400 µm</t>
  </si>
  <si>
    <t>-2068892081</t>
  </si>
  <si>
    <t>783222100.S</t>
  </si>
  <si>
    <t>Nátery kov.stav.doplnk.konštr. syntetické farby šedej na vzduchu schnúce dvojnásobné - 70µm</t>
  </si>
  <si>
    <t>1185678389</t>
  </si>
  <si>
    <t>783225600.S</t>
  </si>
  <si>
    <t>Nátery kov.stav.doplnk.konštr. syntetické na vzduchu schnúce 2x emailovaním - 70µm</t>
  </si>
  <si>
    <t>1433539537</t>
  </si>
  <si>
    <t>783782404.S</t>
  </si>
  <si>
    <t>Nátery tesárskych konštrukcií, povrchová impregnácia proti drevokaznému hmyzu, hubám a plesniam, jednonásobná</t>
  </si>
  <si>
    <t>97464613</t>
  </si>
  <si>
    <t>784</t>
  </si>
  <si>
    <t>Maľby</t>
  </si>
  <si>
    <t>784401801.S</t>
  </si>
  <si>
    <t>Odstránenie malieb obrúsením a oprášením, výšky do 3,80 m, -0,0003 t</t>
  </si>
  <si>
    <t>382966474</t>
  </si>
  <si>
    <t>784410100.S</t>
  </si>
  <si>
    <t>Penetrovanie jednonásobné jemnozrnných podkladov výšky do 3,80 m</t>
  </si>
  <si>
    <t>1179103091</t>
  </si>
  <si>
    <t>784410102.S1</t>
  </si>
  <si>
    <t>Penetrovanie jednonásobné jemnozrnných podkladov silikátovým penetračným náterom</t>
  </si>
  <si>
    <t>-1626730193</t>
  </si>
  <si>
    <t>784426110.S</t>
  </si>
  <si>
    <t>Maľby silikátové ručne nanášané, dvojnásobné základné na jemnozrnný podklad výšky do 3,80 m</t>
  </si>
  <si>
    <t>1960779527</t>
  </si>
  <si>
    <t>784430010.S</t>
  </si>
  <si>
    <t>Maľby akrylátové základné dvojnásobné, ručne nanášané na jemnozrnný podklad výšky do 3,80 m</t>
  </si>
  <si>
    <t>83539764</t>
  </si>
  <si>
    <t>Práce a dodávky M</t>
  </si>
  <si>
    <t>210501105.S2</t>
  </si>
  <si>
    <t>Kreatívne centrum - rekonštrukcia objektu - zmena 2024</t>
  </si>
  <si>
    <t>k.ú. : Slovenská Ľupča, P.č.: 1820 adresa: Námestie SNP 2, 976 13 Slovenská Ľupča</t>
  </si>
  <si>
    <t>Obec Slovenská Ľupča, Námestie SNP 13, 97613 Slovenská Ľupča</t>
  </si>
  <si>
    <t xml:space="preserve">EK Solutions s. r. o., Jegorovova 37, 974 01 Banská Bystrica
</t>
  </si>
  <si>
    <t>Architekrúra a Stavebné Riešenie</t>
  </si>
  <si>
    <t>Zdravotechnika</t>
  </si>
  <si>
    <t>Vykurovanie</t>
  </si>
  <si>
    <t>Vzduchotechnika</t>
  </si>
  <si>
    <t>Elektroinštalácie</t>
  </si>
  <si>
    <t>Blezkozvod</t>
  </si>
  <si>
    <t>Oplechovanie parapetov z pozinkovaného farbeného PZf plechu, vrátane rohov r.š. 275 mm</t>
  </si>
  <si>
    <t>Oplechovanie parapetov z pozinkovaného farbeného PZf plechu, vrátane rohov r.š. 300 mm</t>
  </si>
  <si>
    <t xml:space="preserve">Z2 D+M Oceľové madlo, úprava do exteriéru – žiarové zinkovanie, prášk. farba čierna. dĺžka 1,7m, kotvené do nosného podkladu fasády chemickými kotvami.
Madlo: oceľ.kruhové  pr.40mm.
</t>
  </si>
  <si>
    <t>Z1 D+M Oceľové zábradlie, úprava do exteriéru – žiarové zinkovanie, prášk. farba čierna. dĺžka 2,5m, kotvené do betón. schodiska.
Madlo: oceľ.kruhové pr.40mm.</t>
  </si>
  <si>
    <t xml:space="preserve">Z2a D+M Oceľové madlo, úprava do exteriéru – žiarové zinkovanie, prášk. farba čierna. dĺžka 2,1m, kotvené do nosného podkladu fasády chemickými kotvami.
Madlo: oceľ.kruhové  pr.40mm.
</t>
  </si>
  <si>
    <t xml:space="preserve">Z3 D+M Kovová ventilačná mriežka vzduchotechniky na fasáde objektu so žalúziami a mriežkou proti hmyzu. Práškovo lakovaná čierna povrchová úprava. Rozmer 1100x900mm.
</t>
  </si>
  <si>
    <t xml:space="preserve">Z4 D+M Kovová ventilačná mriežka vzduchotechniky na fasáde objektu so žalúziami a mriežkou proti hmyzu. Práškovo lakovaná čierna povrchová úprava. Rozmer 1000x500mm.
</t>
  </si>
  <si>
    <t>Z5 D+M Sklenená markíza nad vedľajším vstupom s oceľovou konštrukciou s tiahlami kotvená do fasády objektu pomocou chemických kotiev. Počet a druh chemických kotiev upresní dodávateľ markízy v dielenskej dokumentácií. Povrchová úprava ocele do exteriéru – žiarové zinkovanie, prášk. farba čierna.</t>
  </si>
  <si>
    <t>Z6 D+M Oceľové fasádne písmo – Kultúrny dom. Počet aj druh chemických kotiev, rovnako aj povrchovú úpravu upresní dodávateľ nápisu v dielenskej dokumentácií.</t>
  </si>
  <si>
    <t>Z7 D+M Schodiskové oceľ. zábradlie, prášk. farba čierna – rám, zvislé prvky (výplň) - pásovina 5x30mm os. vzdialenosť 120mm, úchyty madiel.Drevené madlo vo výške 750 a 900mm. Zábradlie kotvené do nosných profilov schodiska. Dĺžka 1600mm+ 2400mm</t>
  </si>
  <si>
    <t>Z8 D+M Drevené madlo, interiérové na ocelovom profile  prášková čierna farba, kotvené do priľahlej schodiskovej steny.Madlo: oceľ.kruhové  pr.40mm. Dĺžka 1600mm</t>
  </si>
  <si>
    <t xml:space="preserve">Z9a D+M Schodiskové oceľ.zábradlie, prášk. farba čierna – rám, zvislé prvky (výplň) - pásovina 5x30mm os.vzdialenosť 120mm, úchyty madiel. Drevené madlo vo výške 900mm. Zábradlie kotvené do nosných prvkov schodiska. Dĺžka 6,5m
</t>
  </si>
  <si>
    <t>Z9b D+M Drevené madlo, interiérové na ocelovom profile–  prášková čierna farba, kotvené do priľahlej schodiskovej steny. Madlo: oceľ.kruhové  pr.40mm. Dĺžka 5200mm</t>
  </si>
  <si>
    <t xml:space="preserve">Z10 D+M Drevené madlo, interiérové na ocelovom profile–  prášková čierna farba, kotvené do priľahlej schodiskovej steny. Madlo: oceľ.kruhové  pr.40mm. Dĺžka 2400mm
</t>
  </si>
  <si>
    <t xml:space="preserve">Z11 D+M Drevené madlo, interiérové na ocelovom profile–  prášková čierna farba, kotvené do priľahlej schodiskovej steny. Madlo: oceľ.kruhové  pr.40mm. Dĺžka 2400mm
</t>
  </si>
  <si>
    <t xml:space="preserve">Z12 D+M Schodiskové oceľ.zábradlie, prášk. farba čierna – rám, zvislé prvky (výplň) - pásovina 5x30mm s.vzdialenosť 120mm, úchyty madiel.Drevené madlo vo výške 900mm. Zábradlie kotvené do nosných prvkov schodiska. Dĺžka 10100mm
</t>
  </si>
  <si>
    <t xml:space="preserve">Z13 D+M Schodiskové oceľ.zábradlie, prášk. farba čierna – rám, zvislé prvky (výplň) - pásovina 5x30mm os.vzdialenosť 120mm, úchyty madiel.
Drevené madlo vo výške 900mm. Zábradlie kotvené do nosných prvkov schodiska. Dĺžka 2600m
</t>
  </si>
  <si>
    <t xml:space="preserve">Z14 D+M Schodiskové oceľ.zábradlie, prášk. farba čierna – rám, zvislé prvky (výplň) - pásovina 5x30mm os.vzdialenosť 120mm, úchyty madiel.
Drevené madlo vo výške 900mm. Zábradlie kotvené do nosných prvkov schodiska. Dĺžka 2000m
</t>
  </si>
  <si>
    <t xml:space="preserve">Z15 D+M Schodiskové oceľ. zábradlie, prášk. farba čierna – rám, zvislé prvky (výplň) - pásovina 5x30mm os. vzdialenosť 120mm, úchyty madiel.Drevené madlo vo výške 750 a 900mm. Zábradlie kotvené do nosných profilov schodiska. Dĺžka 5750+6700mm
</t>
  </si>
  <si>
    <t xml:space="preserve">Z17 D+M Drevené madlo, interiérové na ocelovom profile–  prášková čierna farba, kotvené do priľahlej schodiskovej steny.Madlo: oceľ.kruhové  pr.40mm. Dĺžka 2300mm
</t>
  </si>
  <si>
    <t xml:space="preserve">Z18 D+M Drevené madlo, interiérové na ocelovom profile–  prášková čierna farba, 
kotvené do priľahlej schodiskovej steny.
Madlo: oceľ.kruhové  pr.40mm. Dĺžka 1600mm
</t>
  </si>
  <si>
    <t>poz 118 D+M Hliníkové dvere 1500x2250mm, (ref Schuco AWS/AD UP 90.SI), alebo výrobok s rovnakými techn. Vlastnosťami</t>
  </si>
  <si>
    <t>210501105.S1</t>
  </si>
  <si>
    <t>Pás zo sklenej vlny hr. 150 mm, pre šikmé strechy, podkrovia, stropy a ľahké podlahy</t>
  </si>
  <si>
    <t>Demontáž obloženia stien panelmi, vratane podkladových roštov,  -0,00800t</t>
  </si>
  <si>
    <t>Veľkoformátová dlažba gres 600x600x10mm</t>
  </si>
  <si>
    <t xml:space="preserve">Montáž soklíkov z obkladačiek do tmelu </t>
  </si>
  <si>
    <t xml:space="preserve">Dlaždice keramické, hr10 mm v 100mm, gresové </t>
  </si>
  <si>
    <t>Profesie</t>
  </si>
  <si>
    <t>sub.</t>
  </si>
  <si>
    <t>prof</t>
  </si>
  <si>
    <t xml:space="preserve">    prof - profesie</t>
  </si>
  <si>
    <t>210501105.S3</t>
  </si>
  <si>
    <t>210501105.S4</t>
  </si>
  <si>
    <t>210501105.S5</t>
  </si>
  <si>
    <t>Montáž tepelnej izolácie podláh minerálnou vlnou, položením voľne v dvoch vrstvách</t>
  </si>
  <si>
    <t>D1 D+M Drevené dvere 1krídlové otváravé, 800x2000mm, plné , s drevenou oblôžkovou zárubňou, krídlo folia, klučka-klučka</t>
  </si>
  <si>
    <t>D2 D+M Drevené dvere 1krídlové otváravé, 600x2000mm, plné , s drevenou oblôžkovou zárubňou, krídlo folia, klučka-klučka</t>
  </si>
  <si>
    <t>D3 D+M Drevené dvere 1krídlové otváravé, 900x2000mm, plné , s drevenou oblôžkovou zárubňou, krídlo folia, klučka-klučka</t>
  </si>
  <si>
    <t>D4 D+M Drevené dvere 2 krídlové otváravé, požiarna odolnosť EW-30/A-C, 2000x2000mm, s presklením, s ocelovou zárubňou, krídlo folia, klučka-klučka</t>
  </si>
  <si>
    <t>D4a D+M Drevené dvere 2 krídlové otváravé, požiarna odolnosť EW-30/A-C, 1600x2000mm, s presklením, s ocelovou zárubňou, krídlo folia, klučka-klučka</t>
  </si>
  <si>
    <t>D6 D+M Drevené dvere 1krídlové otváravé, 800x2000mm, s presklením, s ocelovou zárubňou, krídlo folia, klučka-klučka</t>
  </si>
  <si>
    <t>D7 D+M Drevené dvere 1krídlové otváravé, požiarna odolnosť EW-30/A-C, 800x2000mm, plné, s ocelovou zárubňou, krídlo folia, klučka-klučka</t>
  </si>
  <si>
    <t>D8 D+M Drevené dvere 1krídlové otváravé, požiarna odolnosť EW-30/A-C, 800x2000mm, s presklením, s ocelovou zárubňou, krídlo folia, klučka-klučka</t>
  </si>
  <si>
    <t>766694121.S1</t>
  </si>
  <si>
    <t>766694121.S2</t>
  </si>
  <si>
    <t>766694121.S3</t>
  </si>
  <si>
    <t>766694121.S4</t>
  </si>
  <si>
    <t>766694121.S5</t>
  </si>
  <si>
    <t>766694121.S6</t>
  </si>
  <si>
    <t>766694121.S7</t>
  </si>
  <si>
    <t>766694121.S8</t>
  </si>
  <si>
    <t>766694121.S9</t>
  </si>
  <si>
    <t>766694121.S10</t>
  </si>
  <si>
    <t>766694121.S11</t>
  </si>
  <si>
    <t>766694121.S12</t>
  </si>
  <si>
    <t xml:space="preserve">S1/01 D+M Masívny drevený parapet s nosom, obrúsené hrany Šírka: 540mm , Dĺžka: 1500mm
</t>
  </si>
  <si>
    <t xml:space="preserve">S1/02 D+M Masívny drevený parapet s nosom, obrúsené hrany Šírka: 540mm , Dĺžka: 1000mm
</t>
  </si>
  <si>
    <t xml:space="preserve">S2/01 D+M Masívny drevený parapet s nosom, obrúsené hrany Šírka: 390mm , Dĺžka: 1800mm
</t>
  </si>
  <si>
    <t xml:space="preserve">S3/01 D+M Masívny drevený parapet s nosom, obrúsené hrany Šírka: 590mm , Dĺžka: 1800mm
</t>
  </si>
  <si>
    <t xml:space="preserve">S3/03 D+M Masívny drevený parapet s nosom, obrúsené hrany Šírka: 590mm , Dĺžka: 1400mm
</t>
  </si>
  <si>
    <t xml:space="preserve">S3/02 D+M Masívny drevený parapet s nosom, obrúsené hrany Šírka: 590mm , Dĺžka: 1600mm
</t>
  </si>
  <si>
    <t xml:space="preserve">S4/01 D+M Masívny drevený parapet s nosom, obrúsené hrany Šírka: 365mm , Dĺžka: 1500mm
</t>
  </si>
  <si>
    <t xml:space="preserve">S4/02 D+M Masívny drevený parapet s nosom, obrúsené hrany Šírka: 365mm , Dĺžka: 1200mm
</t>
  </si>
  <si>
    <t xml:space="preserve">S5/01 D+M Masívny drevený parapet s nosom, obrúsené hrany Šírka: 300mm , Dĺžka: 1500mm
</t>
  </si>
  <si>
    <t xml:space="preserve">S6/01 D+M Masívny drevený parapet s nosom, obrúsené hrany Šírka: 435mm , Dĺžka: 1600mm
</t>
  </si>
  <si>
    <t xml:space="preserve">S6/02 D+M Masívny drevený parapet s nosom, obrúsené hrany Šírka: 435mm , Dĺžka: 1400mm
</t>
  </si>
  <si>
    <t>766694121.S13</t>
  </si>
  <si>
    <t xml:space="preserve">S6/03 D+M Masívny drevený parapet s nosom, obrúsené hrany Šírka: 435mm , Dĺžka: 600mm
</t>
  </si>
  <si>
    <t xml:space="preserve">S7/01 D+M Masívny drevený parapet s nosom, obrúsené hrany Šírka: 500mm , Dĺžka: 1600mm
</t>
  </si>
  <si>
    <t xml:space="preserve">Z19 D+M Schodiskové oceľ.zábradlie, prášk. farba čierna – rám, zvislé prvky (výplň) - pásovina 5x30mm os.vzdialenosť 120mm, úchyty madiel.
Drevené madlo vo výške 900mm. Zábradlie kotvené do nosných prvkov schodiska. 
</t>
  </si>
  <si>
    <t xml:space="preserve">Z20 D+M Schodiskové oceľ.zábradlie, prášk. farba čierna – rám, zvislé prvky (výplň) - pásovina 5x30mm os.vzdialenosť 120mm, úchyty madiel.
Drevené madlo vo výške 900mm. Zábradlie kotvené do nosných prvkov schodiska. 
</t>
  </si>
  <si>
    <t>Demontáž  markízy uchytenej na stenu  -0,03850t</t>
  </si>
  <si>
    <t>Výkop jamy a ryhy v obmedzenom priestore horn. tr.3 ručne, vrátane rozoberania a spätnej pokládky dlažieb</t>
  </si>
  <si>
    <t>B2 - SDK podhľad , závesná dvojvrstvová kca profil montažný CD a nosný UD, dosky  2x hr. 12,5 mm vodoodolné</t>
  </si>
  <si>
    <t>Doska obkladová, stupeň 305,</t>
  </si>
  <si>
    <t>Doska soklová, výška 100 mm,</t>
  </si>
  <si>
    <t>Montáž obkladu podstupnice doskami v.do 200 mm,</t>
  </si>
  <si>
    <t>Doska obkladová podstupnica</t>
  </si>
  <si>
    <t>Kladenie dlažby z kameňa z pravouhlých dosiek alebo dlaždíc</t>
  </si>
  <si>
    <t>Obklad/dlažba</t>
  </si>
  <si>
    <t>B1 - SDK podhľad , závesná dvojvrstvová kca profil montažný CD a nosný UD, dosky štandard  2x hr. 12,5 mm vodoodolné</t>
  </si>
  <si>
    <t xml:space="preserve">B3 - SDK podhľad , závesná dvojvrstvová kca profil montažný CD a nosný UD, dosky akustické  </t>
  </si>
  <si>
    <t>D5 D+M Drevené dvere 1krídlové otváravé, 800x2000mm, plné , s ocelovou zárubňou, krídlo folia, klučka-klučka</t>
  </si>
  <si>
    <t>D9 D+M Drevené dvere 1krídlové otváravé, požiarna odolnosť EW-30/A-C, 1100x2000mm, s presklením, s ocelovou zárubňou, krídlo folia, klučka-klučka</t>
  </si>
  <si>
    <t>Z16a, b, D+M Schodiskové oceľ.zábradlie, prášk. farba čierna – rám, zvislé prvky (výplň) - pásovina 5x30mm os.vzdialenosť 120mm, úchyty madiel.Drevené madlo vo výške 900mm. Zábradlie kotvené do nosných prvkov schodiska. Dĺžka 2300 + 1600mm</t>
  </si>
  <si>
    <t>1 - Zateplenie obvodového plášťa</t>
  </si>
  <si>
    <t>2 - Zateplenie strešného plášťa</t>
  </si>
  <si>
    <t>3 - Výmena otvorových konštrukcií</t>
  </si>
  <si>
    <t>4 - Vykurovací systém</t>
  </si>
  <si>
    <t>5 - Systémy chladenia a vetrania</t>
  </si>
  <si>
    <t>6 - Systémy prípravy teplej vody</t>
  </si>
  <si>
    <t>7 - Osvetlenie</t>
  </si>
  <si>
    <t>8 - Iné opatrenia úspory primárnej energie</t>
  </si>
  <si>
    <t>9 - Kvalita vnútorného prostredia</t>
  </si>
  <si>
    <t>10 - Debarierizačné opatrenia</t>
  </si>
  <si>
    <t>11 - Zelené opatrenia</t>
  </si>
  <si>
    <t>12 - Zariadenia OZE - výroba elektriny</t>
  </si>
  <si>
    <t xml:space="preserve">13 - Uskladnenie energie z OZE </t>
  </si>
  <si>
    <t>210501105.S6</t>
  </si>
  <si>
    <t>76761210O73x</t>
  </si>
  <si>
    <t xml:space="preserve">Elektroinštalácie - FVE 30 kWp vrátane montáže </t>
  </si>
  <si>
    <t>Kontaktný zatepľovací systém hr. 200 mm  - MW, skrutkovacie kotvy</t>
  </si>
  <si>
    <t>Príprava vonkajšieho podkladu stien</t>
  </si>
  <si>
    <t xml:space="preserve">Profil fasádny dekoračný  </t>
  </si>
  <si>
    <t xml:space="preserve">Jednozlož. hydroizolačná hmota, stierka vodorovná, </t>
  </si>
  <si>
    <t xml:space="preserve">Jednozlož.  hydroizolačná hmota, stierka zvislá, </t>
  </si>
  <si>
    <t>Rolky z minerálnej vlny hr. 150 mm, izolácia pre, šikmé strechy, stropy, podhľady</t>
  </si>
  <si>
    <t xml:space="preserve">Páska tesniaca š. 50 mm, dĺ. 25 m, obojstranná, na utesnenie dier vzniknutých na fólii od klincov prichytávajúcich kontralaty, </t>
  </si>
  <si>
    <t>Rezivo stavebné zo smreku - hranoly hranené</t>
  </si>
  <si>
    <t>Priečka SDK hr. 100 mm, jednoduchá kca CW 50, UW 50, dosky 2x GKBI hr. 12,5 mm s TI 50 mm,</t>
  </si>
  <si>
    <t>Predsadená SDK stena hr. 75 mm, jednoduchá kca UW 50 a CW 50 dosky Cleaneo, TI 50 mm</t>
  </si>
  <si>
    <t>F1a, F2 Vonkajšia omietka stien tenkovrstvová, roztieraná, R 1,5, samočistiaca</t>
  </si>
  <si>
    <t>Predsadená SDK stena hr. 75 mm, jednoduchá kca UW 50 a CW 50 dosky 2x GKBI hr. 12,5 mm, TI 50 mm</t>
  </si>
  <si>
    <t xml:space="preserve">typ 12 D+M Hliníkové okno 1400x2100mm, OS, sklo so žalúziami, farba RAL DB 703, </t>
  </si>
  <si>
    <t xml:space="preserve">typ 21 D+M Hliníkové okno 1500x1500mm, OS, sklo so žalúziami, farba RAL DB 703, </t>
  </si>
  <si>
    <t xml:space="preserve">typ 22 D+M Hliníkové okno 1200x1200mm, OS, sklo so žalúziami, farba RAL DB 703, </t>
  </si>
  <si>
    <t xml:space="preserve">typ 23 D+M Hliníkové okno 600x2100mm, OS, sklo so žalúziami, farba RAL DB 703, </t>
  </si>
  <si>
    <t xml:space="preserve">typ 24 D+M Hliníkové okno 1500x700mm, OS, sklo so žalúziami, farba RAL DB 703, </t>
  </si>
  <si>
    <t>typ 25 D+M Hliníkové okno 1000x1000mm, OS, sklo so žalúziami, farba RAL DB 703,</t>
  </si>
  <si>
    <t>typ 26 D+M Hliníkové okno 650x1500mm, OS, sklo so žalúziami, farba RAL DB 703,</t>
  </si>
  <si>
    <t xml:space="preserve">typ 27 D+M Hliníkové okno 800x800mm, OS, sklo so žalúziami, farba RAL DB 703, </t>
  </si>
  <si>
    <t xml:space="preserve">typ 28 D+M Hliníkové okno 600x600mm, OS, sklo so žalúziami, farba RAL DB 703, </t>
  </si>
  <si>
    <t xml:space="preserve">typ 31 D+M Hliníkové okno 1700x400mm, OS, sklo so žalúziami, farba RAL DB 703, </t>
  </si>
  <si>
    <t xml:space="preserve">typ 32 D+M Hliníkové okno 1000x400mm, OS, sklo so žalúziami, farba RAL DB 703, </t>
  </si>
  <si>
    <t xml:space="preserve">typ 41 D+M Hliníkové okno 1800x2000mm, OS, sklo so žalúziami, farba RAL DB 703, </t>
  </si>
  <si>
    <t xml:space="preserve">typ 51 D+M Hliníkové okno 1500x1600mm, OS, sklo so žalúziami, farba RAL DB 703, </t>
  </si>
  <si>
    <t xml:space="preserve">typ 52 D+M Hliníkové okno 1500x1800mm, OS, sklo so žalúziami, farba RAL DB 703, </t>
  </si>
  <si>
    <t xml:space="preserve">typ 53 D+M Hliníkové okno 1400x2800mm, OS, sklo so žalúziami, farba RAL DB 703, </t>
  </si>
  <si>
    <t xml:space="preserve">poz 101+102 D+M Hliníková zasklená stena s dverami 7500x2800mm, </t>
  </si>
  <si>
    <t>poz 107 D+M Hliníkové dvere 1500x2250mm,</t>
  </si>
  <si>
    <t xml:space="preserve">poz 109 D+M Hliníkové dvere 1700x2250mm, </t>
  </si>
  <si>
    <t xml:space="preserve">poz 119 D+M Hliníkové dvere 1700x2250mm, </t>
  </si>
  <si>
    <t xml:space="preserve">poz 121 D+M Hliníkové dvere 1700x2350mm, </t>
  </si>
  <si>
    <t xml:space="preserve">D+M nadštandardné vybavenie okien integrovanými žalúziami v zasklení z exteriérovej strany prídavné zasklenie </t>
  </si>
  <si>
    <t>Vnútorná omietka stropov jadrová , strojné miešanie, ručné nanášanie, ozn. 082, hr. 20 mm, alebo výrobok s rovnakými technickými vlastnosťami</t>
  </si>
  <si>
    <t>Priečky z tvárnic hr. 150 mm P2-500 hladkých, na MVC (150x249x599)</t>
  </si>
  <si>
    <t>Zamurovanie otvorov plochy nad 1 do 4 m2 tvárnicami (300x499x249)</t>
  </si>
  <si>
    <t>Zamurovanie otvorov plochy nad 1 do 4 m2 tvárnicami (250x499x249)</t>
  </si>
  <si>
    <t>Prekladový trámec šírky 150 mm, výšky 124 mm, dĺžky 1500 mm</t>
  </si>
  <si>
    <t>Prekladový trámec šírky 150 mm, výšky 124 mm, dĺžky 1250 mm</t>
  </si>
  <si>
    <t>Kontaktný zatepľovací systém pre sokel hr. 200 mm , samozápustné skrutkovacie kotvy</t>
  </si>
  <si>
    <t>F1b, F1c, F1d Fasádna farba organická, vysokopružná, mechanicky odolná hr. 1mm</t>
  </si>
  <si>
    <t>Dodávka a montáž - Parozábrana s reflexnou hliníkovou vrstvou a lepiacou páskou, plošná hmotnosť 170 g/m2</t>
  </si>
  <si>
    <t>Dodávka a montáž - Lepiaca páska z polypropylénu š. 100 mm, dĺ. 100 m, s naprášeným hliníkom na prelepenie presahov parozábrany</t>
  </si>
  <si>
    <t>247b</t>
  </si>
  <si>
    <t>263b</t>
  </si>
  <si>
    <t>264b</t>
  </si>
  <si>
    <t>776-01</t>
  </si>
  <si>
    <t>776-02</t>
  </si>
  <si>
    <t>10 - Kvalita vnútorného prostredia</t>
  </si>
  <si>
    <t>11 - Kvalita vnútorného prostredia</t>
  </si>
  <si>
    <t>Dodávka elastickej záťažovej podlahovej krytiny typu PURLINE Wineo 1500 alebo ekvivalent, v rolkách, určenej na celoplošné lepenie, trieda použitia min. 23/34/43.</t>
  </si>
  <si>
    <t>Montáž elastickej záťažovej podlahovej krytiny celoplošným lepením vrátane prípravy podkladu, penetrácie, zvarenia alebo utesnenia spojov podľa technologického predpisu výrobcu, pomocného materiálu a dokončenia.</t>
  </si>
  <si>
    <t>Lepenie podlahových soklov</t>
  </si>
  <si>
    <t>252b</t>
  </si>
  <si>
    <t>767590200-R</t>
  </si>
  <si>
    <t>Dodávka a montáž zapustenej hliníkovej vstupnej čistiacej rohože s hliníkovými profilmi, textilno-gumenou výplňou, vrátane osadzovacieho rámu, kotvenia, všetkého spojovacieho materiálu a kompletného dokončenia.</t>
  </si>
  <si>
    <t xml:space="preserve">typ 11 D+M Hliníkové okno 1600x2100mm, OS, sklo so žalúziami, farba RAL DB 703, </t>
  </si>
  <si>
    <t xml:space="preserve">Z24 D+M Drevené madlo, interiérové na oceľovom profile–  prášková čierna farba, kotvené do priľahlej schodiskovej steny.
Madlo: oceľ.kruhové  pr.40mm. 
</t>
  </si>
  <si>
    <t xml:space="preserve">Z21, 22, 23 D+M Nosný rošt – konštrukcia pre uchytenie strešných fotovolt.panelov, strecha – plechová falcovaná, Sanitárné oddeľovacie steny, Strešný bezp.systém 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</si>
</sst>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29">
    <font>
      <sz val="8"/>
      <name val="Arial CE"/>
      <family val="2"/>
    </font>
    <font>
      <sz val="11"/>
      <color theme="1"/>
      <name val="Calibri"/>
      <family val="2"/>
      <charset val="238"/>
      <scheme val="minor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46464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9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rgb="FF003366"/>
      <name val="Arial CE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D2D2D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5">
    <xf numFmtId="0" fontId="0" fillId="0" borderId="0"/>
    <xf numFmtId="0" fontId="1" fillId="0" borderId="0"/>
    <xf numFmtId="0" fontId="26" fillId="0" borderId="0"/>
    <xf numFmtId="0" fontId="27" fillId="0" borderId="0"/>
    <xf numFmtId="0" fontId="1" fillId="0" borderId="0"/>
  </cellStyleXfs>
  <cellXfs count="1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65" fontId="3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3" borderId="7" xfId="0" applyFill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18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0" fontId="0" fillId="3" borderId="0" xfId="0" applyFill="1" applyAlignment="1">
      <alignment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right" vertical="center"/>
    </xf>
    <xf numFmtId="0" fontId="5" fillId="3" borderId="7" xfId="0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16" fillId="3" borderId="0" xfId="0" applyFont="1" applyFill="1" applyAlignment="1">
      <alignment horizontal="left" vertical="center"/>
    </xf>
    <xf numFmtId="0" fontId="16" fillId="3" borderId="0" xfId="0" applyFont="1" applyFill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vertical="center"/>
    </xf>
    <xf numFmtId="4" fontId="6" fillId="0" borderId="19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4" fontId="7" fillId="0" borderId="19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4" fontId="18" fillId="0" borderId="0" xfId="0" applyNumberFormat="1" applyFont="1"/>
    <xf numFmtId="166" fontId="21" fillId="0" borderId="12" xfId="0" applyNumberFormat="1" applyFont="1" applyBorder="1"/>
    <xf numFmtId="166" fontId="21" fillId="0" borderId="13" xfId="0" applyNumberFormat="1" applyFont="1" applyBorder="1"/>
    <xf numFmtId="4" fontId="2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6" fillId="0" borderId="20" xfId="0" applyFont="1" applyBorder="1" applyAlignment="1" applyProtection="1">
      <alignment horizontal="center" vertical="center"/>
      <protection locked="0"/>
    </xf>
    <xf numFmtId="49" fontId="16" fillId="0" borderId="20" xfId="0" applyNumberFormat="1" applyFont="1" applyBorder="1" applyAlignment="1" applyProtection="1">
      <alignment horizontal="left" vertical="center" wrapText="1"/>
      <protection locked="0"/>
    </xf>
    <xf numFmtId="0" fontId="16" fillId="0" borderId="20" xfId="0" applyFont="1" applyBorder="1" applyAlignment="1" applyProtection="1">
      <alignment horizontal="left" vertical="center" wrapText="1"/>
      <protection locked="0"/>
    </xf>
    <xf numFmtId="0" fontId="16" fillId="0" borderId="20" xfId="0" applyFont="1" applyBorder="1" applyAlignment="1" applyProtection="1">
      <alignment horizontal="center" vertical="center" wrapText="1"/>
      <protection locked="0"/>
    </xf>
    <xf numFmtId="167" fontId="16" fillId="0" borderId="20" xfId="0" applyNumberFormat="1" applyFont="1" applyBorder="1" applyAlignment="1" applyProtection="1">
      <alignment vertical="center"/>
      <protection locked="0"/>
    </xf>
    <xf numFmtId="4" fontId="16" fillId="0" borderId="20" xfId="0" applyNumberFormat="1" applyFont="1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166" fontId="17" fillId="0" borderId="0" xfId="0" applyNumberFormat="1" applyFont="1" applyAlignment="1">
      <alignment vertical="center"/>
    </xf>
    <xf numFmtId="166" fontId="17" fillId="0" borderId="15" xfId="0" applyNumberFormat="1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3" fillId="0" borderId="20" xfId="0" applyFont="1" applyBorder="1" applyAlignment="1" applyProtection="1">
      <alignment horizontal="center" vertical="center"/>
      <protection locked="0"/>
    </xf>
    <xf numFmtId="49" fontId="23" fillId="0" borderId="20" xfId="0" applyNumberFormat="1" applyFont="1" applyBorder="1" applyAlignment="1" applyProtection="1">
      <alignment horizontal="left" vertical="center" wrapText="1"/>
      <protection locked="0"/>
    </xf>
    <xf numFmtId="0" fontId="23" fillId="0" borderId="20" xfId="0" applyFont="1" applyBorder="1" applyAlignment="1" applyProtection="1">
      <alignment horizontal="left" vertical="center" wrapText="1"/>
      <protection locked="0"/>
    </xf>
    <xf numFmtId="0" fontId="23" fillId="0" borderId="20" xfId="0" applyFont="1" applyBorder="1" applyAlignment="1" applyProtection="1">
      <alignment horizontal="center" vertical="center" wrapText="1"/>
      <protection locked="0"/>
    </xf>
    <xf numFmtId="167" fontId="23" fillId="0" borderId="20" xfId="0" applyNumberFormat="1" applyFont="1" applyBorder="1" applyAlignment="1" applyProtection="1">
      <alignment vertical="center"/>
      <protection locked="0"/>
    </xf>
    <xf numFmtId="4" fontId="23" fillId="0" borderId="20" xfId="0" applyNumberFormat="1" applyFont="1" applyBorder="1" applyAlignment="1" applyProtection="1">
      <alignment vertical="center"/>
      <protection locked="0"/>
    </xf>
    <xf numFmtId="0" fontId="24" fillId="0" borderId="20" xfId="0" applyFont="1" applyBorder="1" applyAlignment="1" applyProtection="1">
      <alignment vertical="center"/>
      <protection locked="0"/>
    </xf>
    <xf numFmtId="0" fontId="24" fillId="0" borderId="3" xfId="0" applyFont="1" applyBorder="1" applyAlignment="1">
      <alignment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4" fontId="8" fillId="0" borderId="0" xfId="0" applyNumberFormat="1" applyFont="1"/>
    <xf numFmtId="0" fontId="25" fillId="0" borderId="20" xfId="0" applyFont="1" applyBorder="1" applyAlignment="1" applyProtection="1">
      <alignment horizontal="left" vertical="center" wrapText="1"/>
      <protection locked="0"/>
    </xf>
    <xf numFmtId="0" fontId="25" fillId="0" borderId="20" xfId="0" applyFont="1" applyBorder="1" applyAlignment="1" applyProtection="1">
      <alignment horizontal="center" vertical="center" wrapText="1"/>
      <protection locked="0"/>
    </xf>
    <xf numFmtId="4" fontId="16" fillId="0" borderId="20" xfId="0" applyNumberFormat="1" applyFont="1" applyBorder="1" applyAlignment="1" applyProtection="1">
      <alignment vertical="center" wrapText="1"/>
      <protection locked="0"/>
    </xf>
    <xf numFmtId="4" fontId="0" fillId="0" borderId="3" xfId="0" applyNumberForma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9" borderId="0" xfId="0" applyFont="1" applyFill="1" applyAlignment="1">
      <alignment horizontal="left" vertical="center"/>
    </xf>
    <xf numFmtId="0" fontId="7" fillId="10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7" fillId="11" borderId="0" xfId="0" applyFont="1" applyFill="1" applyAlignment="1">
      <alignment horizontal="left" vertical="center"/>
    </xf>
    <xf numFmtId="0" fontId="7" fillId="12" borderId="0" xfId="0" applyFont="1" applyFill="1" applyAlignment="1">
      <alignment horizontal="left" vertical="center"/>
    </xf>
    <xf numFmtId="0" fontId="7" fillId="13" borderId="0" xfId="0" applyFont="1" applyFill="1" applyAlignment="1">
      <alignment horizontal="left" vertical="center"/>
    </xf>
    <xf numFmtId="0" fontId="7" fillId="14" borderId="0" xfId="0" applyFont="1" applyFill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0" fontId="7" fillId="7" borderId="0" xfId="0" applyFont="1" applyFill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6" borderId="0" xfId="0" applyFont="1" applyFill="1" applyAlignment="1">
      <alignment horizontal="left" vertical="center"/>
    </xf>
    <xf numFmtId="0" fontId="7" fillId="16" borderId="0" xfId="0" applyFont="1" applyFill="1" applyAlignment="1">
      <alignment horizontal="left" vertical="center"/>
    </xf>
    <xf numFmtId="49" fontId="25" fillId="0" borderId="20" xfId="0" applyNumberFormat="1" applyFont="1" applyBorder="1" applyAlignment="1" applyProtection="1">
      <alignment horizontal="left" vertical="center" wrapText="1"/>
      <protection locked="0"/>
    </xf>
    <xf numFmtId="0" fontId="28" fillId="16" borderId="0" xfId="0" applyFont="1" applyFill="1" applyAlignment="1">
      <alignment horizontal="left" vertical="center"/>
    </xf>
    <xf numFmtId="0" fontId="28" fillId="8" borderId="0" xfId="0" applyFont="1" applyFill="1" applyAlignment="1">
      <alignment horizontal="left" vertical="center"/>
    </xf>
    <xf numFmtId="4" fontId="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wrapText="1"/>
    </xf>
    <xf numFmtId="0" fontId="16" fillId="17" borderId="20" xfId="0" applyFont="1" applyFill="1" applyBorder="1" applyAlignment="1" applyProtection="1">
      <alignment horizontal="center" vertical="center"/>
      <protection locked="0"/>
    </xf>
    <xf numFmtId="49" fontId="16" fillId="17" borderId="20" xfId="0" applyNumberFormat="1" applyFont="1" applyFill="1" applyBorder="1" applyAlignment="1" applyProtection="1">
      <alignment horizontal="left" vertical="center" wrapText="1"/>
      <protection locked="0"/>
    </xf>
    <xf numFmtId="0" fontId="16" fillId="17" borderId="20" xfId="0" applyFont="1" applyFill="1" applyBorder="1" applyAlignment="1" applyProtection="1">
      <alignment horizontal="left" vertical="center" wrapText="1"/>
      <protection locked="0"/>
    </xf>
    <xf numFmtId="0" fontId="23" fillId="17" borderId="20" xfId="0" applyFont="1" applyFill="1" applyBorder="1" applyAlignment="1" applyProtection="1">
      <alignment horizontal="center" vertical="center"/>
      <protection locked="0"/>
    </xf>
    <xf numFmtId="49" fontId="23" fillId="17" borderId="20" xfId="0" applyNumberFormat="1" applyFont="1" applyFill="1" applyBorder="1" applyAlignment="1" applyProtection="1">
      <alignment horizontal="left" vertical="center" wrapText="1"/>
      <protection locked="0"/>
    </xf>
    <xf numFmtId="0" fontId="23" fillId="17" borderId="20" xfId="0" applyFont="1" applyFill="1" applyBorder="1" applyAlignment="1" applyProtection="1">
      <alignment horizontal="left" vertical="center" wrapText="1"/>
      <protection locked="0"/>
    </xf>
    <xf numFmtId="0" fontId="16" fillId="17" borderId="20" xfId="0" applyFont="1" applyFill="1" applyBorder="1" applyAlignment="1" applyProtection="1">
      <alignment horizontal="center" vertical="center" wrapText="1"/>
      <protection locked="0"/>
    </xf>
    <xf numFmtId="167" fontId="16" fillId="17" borderId="20" xfId="0" applyNumberFormat="1" applyFont="1" applyFill="1" applyBorder="1" applyAlignment="1" applyProtection="1">
      <alignment vertical="center"/>
      <protection locked="0"/>
    </xf>
    <xf numFmtId="167" fontId="16" fillId="0" borderId="20" xfId="0" applyNumberFormat="1" applyFont="1" applyFill="1" applyBorder="1" applyAlignment="1" applyProtection="1">
      <alignment vertical="center"/>
      <protection locked="0"/>
    </xf>
  </cellXfs>
  <cellStyles count="5">
    <cellStyle name="Normálna 2" xfId="2"/>
    <cellStyle name="normálne" xfId="0" builtinId="0" customBuiltin="1"/>
    <cellStyle name="Normálne 2" xfId="3"/>
    <cellStyle name="normálne 3" xfId="1"/>
    <cellStyle name="normálne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457"/>
  <sheetViews>
    <sheetView showGridLines="0" tabSelected="1" view="pageBreakPreview" topLeftCell="A332" zoomScaleSheetLayoutView="100" workbookViewId="0">
      <selection activeCell="E345" sqref="E345"/>
    </sheetView>
  </sheetViews>
  <sheetFormatPr defaultRowHeight="11.25"/>
  <cols>
    <col min="1" max="1" width="8.33203125" customWidth="1"/>
    <col min="2" max="2" width="1.1640625" customWidth="1"/>
    <col min="3" max="3" width="5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43.83203125" customWidth="1"/>
    <col min="23" max="23" width="3.5" customWidth="1"/>
    <col min="24" max="24" width="2.83203125" customWidth="1"/>
    <col min="25" max="25" width="18.33203125" customWidth="1"/>
    <col min="26" max="26" width="16.1640625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37" t="s">
        <v>2</v>
      </c>
      <c r="M2" s="138"/>
      <c r="N2" s="138"/>
      <c r="O2" s="138"/>
      <c r="P2" s="138"/>
      <c r="Q2" s="138"/>
      <c r="R2" s="138"/>
      <c r="S2" s="138"/>
      <c r="T2" s="138"/>
      <c r="U2" s="138"/>
      <c r="V2" s="138"/>
      <c r="AT2" s="7" t="s">
        <v>42</v>
      </c>
    </row>
    <row r="3" spans="2:46" ht="6.95" customHeight="1">
      <c r="B3" s="8"/>
      <c r="C3" s="9"/>
      <c r="D3" s="9"/>
      <c r="E3" s="9"/>
      <c r="F3" s="9"/>
      <c r="G3" s="9"/>
      <c r="H3" s="9"/>
      <c r="I3" s="9"/>
      <c r="J3" s="9"/>
      <c r="K3" s="9"/>
      <c r="L3" s="10"/>
      <c r="AT3" s="7" t="s">
        <v>40</v>
      </c>
    </row>
    <row r="4" spans="2:46" ht="24.95" customHeight="1">
      <c r="B4" s="10"/>
      <c r="D4" s="11" t="s">
        <v>43</v>
      </c>
      <c r="L4" s="10"/>
      <c r="M4" s="35" t="s">
        <v>3</v>
      </c>
      <c r="AT4" s="7" t="s">
        <v>1</v>
      </c>
    </row>
    <row r="5" spans="2:46" ht="6.95" customHeight="1">
      <c r="B5" s="10"/>
      <c r="L5" s="10"/>
    </row>
    <row r="6" spans="2:46" ht="12" customHeight="1">
      <c r="B6" s="10"/>
      <c r="D6" s="13" t="s">
        <v>4</v>
      </c>
      <c r="L6" s="10"/>
    </row>
    <row r="7" spans="2:46" ht="18.600000000000001" customHeight="1">
      <c r="B7" s="10"/>
      <c r="E7" s="134" t="s">
        <v>852</v>
      </c>
      <c r="F7" s="135"/>
      <c r="G7" s="135"/>
      <c r="H7" s="135"/>
      <c r="L7" s="10"/>
    </row>
    <row r="8" spans="2:46" s="1" customFormat="1" ht="12" customHeight="1">
      <c r="B8" s="15"/>
      <c r="D8" s="13" t="s">
        <v>44</v>
      </c>
      <c r="L8" s="15"/>
    </row>
    <row r="9" spans="2:46" s="1" customFormat="1" ht="16.5" customHeight="1">
      <c r="B9" s="15"/>
      <c r="E9" s="136" t="s">
        <v>856</v>
      </c>
      <c r="F9" s="139"/>
      <c r="G9" s="139"/>
      <c r="H9" s="139"/>
      <c r="L9" s="15"/>
    </row>
    <row r="10" spans="2:46" s="1" customFormat="1">
      <c r="B10" s="15"/>
      <c r="L10" s="15"/>
    </row>
    <row r="11" spans="2:46" s="1" customFormat="1" ht="12" customHeight="1">
      <c r="B11" s="15"/>
      <c r="D11" s="13" t="s">
        <v>5</v>
      </c>
      <c r="F11" s="12" t="s">
        <v>0</v>
      </c>
      <c r="I11" s="13" t="s">
        <v>6</v>
      </c>
      <c r="J11" s="12" t="s">
        <v>0</v>
      </c>
      <c r="L11" s="15"/>
    </row>
    <row r="12" spans="2:46" s="1" customFormat="1" ht="12" customHeight="1">
      <c r="B12" s="15"/>
      <c r="D12" s="13" t="s">
        <v>7</v>
      </c>
      <c r="F12" s="12" t="s">
        <v>853</v>
      </c>
      <c r="I12" s="13" t="s">
        <v>8</v>
      </c>
      <c r="J12" s="26">
        <v>46199</v>
      </c>
      <c r="L12" s="15"/>
    </row>
    <row r="13" spans="2:46" s="1" customFormat="1" ht="10.9" customHeight="1">
      <c r="B13" s="15"/>
      <c r="L13" s="15"/>
    </row>
    <row r="14" spans="2:46" s="1" customFormat="1" ht="12" customHeight="1">
      <c r="B14" s="15"/>
      <c r="D14" s="13" t="s">
        <v>9</v>
      </c>
      <c r="I14" s="13" t="s">
        <v>10</v>
      </c>
      <c r="J14" s="12" t="s">
        <v>0</v>
      </c>
      <c r="L14" s="15"/>
    </row>
    <row r="15" spans="2:46" s="1" customFormat="1" ht="18" customHeight="1">
      <c r="B15" s="15"/>
      <c r="E15" s="12" t="s">
        <v>854</v>
      </c>
      <c r="I15" s="13" t="s">
        <v>11</v>
      </c>
      <c r="J15" s="12" t="s">
        <v>0</v>
      </c>
      <c r="L15" s="15"/>
    </row>
    <row r="16" spans="2:46" s="1" customFormat="1" ht="6.95" customHeight="1">
      <c r="B16" s="15"/>
      <c r="L16" s="15"/>
    </row>
    <row r="17" spans="2:12" s="1" customFormat="1" ht="12" customHeight="1">
      <c r="B17" s="15"/>
      <c r="D17" s="13" t="s">
        <v>12</v>
      </c>
      <c r="I17" s="13" t="s">
        <v>10</v>
      </c>
      <c r="J17" s="12" t="s">
        <v>0</v>
      </c>
      <c r="L17" s="15"/>
    </row>
    <row r="18" spans="2:12" s="1" customFormat="1" ht="18" customHeight="1">
      <c r="B18" s="15"/>
      <c r="E18" s="12" t="s">
        <v>13</v>
      </c>
      <c r="I18" s="13" t="s">
        <v>11</v>
      </c>
      <c r="J18" s="12" t="s">
        <v>0</v>
      </c>
      <c r="L18" s="15"/>
    </row>
    <row r="19" spans="2:12" s="1" customFormat="1" ht="6.95" customHeight="1">
      <c r="B19" s="15"/>
      <c r="L19" s="15"/>
    </row>
    <row r="20" spans="2:12" s="1" customFormat="1" ht="12" customHeight="1">
      <c r="B20" s="15"/>
      <c r="D20" s="13" t="s">
        <v>14</v>
      </c>
      <c r="I20" s="13" t="s">
        <v>10</v>
      </c>
      <c r="J20" s="12" t="s">
        <v>0</v>
      </c>
      <c r="L20" s="15"/>
    </row>
    <row r="21" spans="2:12" s="1" customFormat="1" ht="18" customHeight="1">
      <c r="B21" s="15"/>
      <c r="E21" s="12" t="s">
        <v>855</v>
      </c>
      <c r="I21" s="13" t="s">
        <v>11</v>
      </c>
      <c r="J21" s="12" t="s">
        <v>0</v>
      </c>
      <c r="L21" s="15"/>
    </row>
    <row r="22" spans="2:12" s="1" customFormat="1" ht="6.95" customHeight="1">
      <c r="B22" s="15"/>
      <c r="L22" s="15"/>
    </row>
    <row r="23" spans="2:12" s="1" customFormat="1" ht="12" customHeight="1">
      <c r="B23" s="15"/>
      <c r="D23" s="13" t="s">
        <v>15</v>
      </c>
      <c r="I23" s="13" t="s">
        <v>10</v>
      </c>
      <c r="J23" s="12" t="s">
        <v>0</v>
      </c>
      <c r="L23" s="15"/>
    </row>
    <row r="24" spans="2:12" s="1" customFormat="1" ht="11.1" customHeight="1">
      <c r="B24" s="15"/>
      <c r="E24" s="12"/>
      <c r="I24" s="13" t="s">
        <v>11</v>
      </c>
      <c r="J24" s="12" t="s">
        <v>0</v>
      </c>
      <c r="L24" s="15"/>
    </row>
    <row r="25" spans="2:12" s="1" customFormat="1" ht="6.95" customHeight="1">
      <c r="B25" s="15"/>
      <c r="L25" s="15"/>
    </row>
    <row r="26" spans="2:12" s="1" customFormat="1" ht="12" customHeight="1">
      <c r="B26" s="15"/>
      <c r="D26" s="13" t="s">
        <v>16</v>
      </c>
      <c r="L26" s="15"/>
    </row>
    <row r="27" spans="2:12" s="2" customFormat="1" ht="11.1" customHeight="1">
      <c r="B27" s="36"/>
      <c r="E27" s="140" t="s">
        <v>0</v>
      </c>
      <c r="F27" s="140"/>
      <c r="G27" s="140"/>
      <c r="H27" s="140"/>
      <c r="L27" s="36"/>
    </row>
    <row r="28" spans="2:12" s="1" customFormat="1" ht="6.95" customHeight="1">
      <c r="B28" s="15"/>
      <c r="L28" s="15"/>
    </row>
    <row r="29" spans="2:12" s="1" customFormat="1" ht="6.95" customHeight="1">
      <c r="B29" s="15"/>
      <c r="D29" s="27"/>
      <c r="E29" s="27"/>
      <c r="F29" s="27"/>
      <c r="G29" s="27"/>
      <c r="H29" s="27"/>
      <c r="I29" s="27"/>
      <c r="J29" s="27"/>
      <c r="K29" s="27"/>
      <c r="L29" s="15"/>
    </row>
    <row r="30" spans="2:12" s="1" customFormat="1" ht="25.35" customHeight="1">
      <c r="B30" s="15"/>
      <c r="D30" s="37" t="s">
        <v>17</v>
      </c>
      <c r="J30" s="34">
        <f>ROUND(J141, 2)</f>
        <v>0</v>
      </c>
      <c r="L30" s="15"/>
    </row>
    <row r="31" spans="2:12" s="1" customFormat="1" ht="6.95" customHeight="1">
      <c r="B31" s="15"/>
      <c r="D31" s="27"/>
      <c r="E31" s="27"/>
      <c r="F31" s="27"/>
      <c r="G31" s="27"/>
      <c r="H31" s="27"/>
      <c r="I31" s="27"/>
      <c r="J31" s="27"/>
      <c r="K31" s="27"/>
      <c r="L31" s="15"/>
    </row>
    <row r="32" spans="2:12" s="1" customFormat="1" ht="14.45" customHeight="1">
      <c r="B32" s="15"/>
      <c r="F32" s="17" t="s">
        <v>19</v>
      </c>
      <c r="I32" s="17" t="s">
        <v>18</v>
      </c>
      <c r="J32" s="17" t="s">
        <v>20</v>
      </c>
      <c r="L32" s="15"/>
    </row>
    <row r="33" spans="2:12" s="1" customFormat="1" ht="14.45" customHeight="1">
      <c r="B33" s="15"/>
      <c r="D33" s="38" t="s">
        <v>21</v>
      </c>
      <c r="E33" s="18" t="s">
        <v>22</v>
      </c>
      <c r="F33" s="39">
        <f>ROUND((SUM(BE141:BE456)),  2)</f>
        <v>0</v>
      </c>
      <c r="G33" s="40"/>
      <c r="H33" s="40"/>
      <c r="I33" s="41">
        <v>0.2</v>
      </c>
      <c r="J33" s="39">
        <f>ROUND(((SUM(BE141:BE456))*I33),  2)</f>
        <v>0</v>
      </c>
      <c r="L33" s="15"/>
    </row>
    <row r="34" spans="2:12" s="1" customFormat="1" ht="14.45" customHeight="1">
      <c r="B34" s="15"/>
      <c r="E34" s="18" t="s">
        <v>23</v>
      </c>
      <c r="F34" s="42">
        <f>J30</f>
        <v>0</v>
      </c>
      <c r="I34" s="43">
        <v>0.23</v>
      </c>
      <c r="J34" s="42">
        <f>F34*I34</f>
        <v>0</v>
      </c>
      <c r="L34" s="15"/>
    </row>
    <row r="35" spans="2:12" s="1" customFormat="1" ht="14.45" hidden="1" customHeight="1">
      <c r="B35" s="15"/>
      <c r="E35" s="13" t="s">
        <v>24</v>
      </c>
      <c r="F35" s="42">
        <f>ROUND((SUM(BG141:BG456)),  2)</f>
        <v>0</v>
      </c>
      <c r="I35" s="43">
        <v>0.2</v>
      </c>
      <c r="J35" s="42">
        <f>0</f>
        <v>0</v>
      </c>
      <c r="L35" s="15"/>
    </row>
    <row r="36" spans="2:12" s="1" customFormat="1" ht="14.45" hidden="1" customHeight="1">
      <c r="B36" s="15"/>
      <c r="E36" s="13" t="s">
        <v>25</v>
      </c>
      <c r="F36" s="42">
        <f>ROUND((SUM(BH141:BH456)),  2)</f>
        <v>0</v>
      </c>
      <c r="I36" s="43">
        <v>0.2</v>
      </c>
      <c r="J36" s="42">
        <f>0</f>
        <v>0</v>
      </c>
      <c r="L36" s="15"/>
    </row>
    <row r="37" spans="2:12" s="1" customFormat="1" ht="14.45" hidden="1" customHeight="1">
      <c r="B37" s="15"/>
      <c r="E37" s="18" t="s">
        <v>26</v>
      </c>
      <c r="F37" s="39">
        <f>ROUND((SUM(BI141:BI456)),  2)</f>
        <v>0</v>
      </c>
      <c r="G37" s="40"/>
      <c r="H37" s="40"/>
      <c r="I37" s="41">
        <v>0</v>
      </c>
      <c r="J37" s="39">
        <f>0</f>
        <v>0</v>
      </c>
      <c r="L37" s="15"/>
    </row>
    <row r="38" spans="2:12" s="1" customFormat="1" ht="6.95" customHeight="1">
      <c r="B38" s="15"/>
      <c r="L38" s="15"/>
    </row>
    <row r="39" spans="2:12" s="1" customFormat="1" ht="25.35" customHeight="1">
      <c r="B39" s="15"/>
      <c r="C39" s="44"/>
      <c r="D39" s="45" t="s">
        <v>27</v>
      </c>
      <c r="E39" s="28"/>
      <c r="F39" s="28"/>
      <c r="G39" s="46" t="s">
        <v>28</v>
      </c>
      <c r="H39" s="47" t="s">
        <v>29</v>
      </c>
      <c r="I39" s="28"/>
      <c r="J39" s="48">
        <f>SUM(J30:J37)</f>
        <v>0</v>
      </c>
      <c r="K39" s="49"/>
      <c r="L39" s="15"/>
    </row>
    <row r="40" spans="2:12" s="1" customFormat="1" ht="11.45" customHeight="1">
      <c r="B40" s="15"/>
      <c r="L40" s="15"/>
    </row>
    <row r="41" spans="2:12" ht="11.45" customHeight="1">
      <c r="B41" s="10"/>
      <c r="L41" s="10"/>
    </row>
    <row r="42" spans="2:12" ht="11.45" customHeight="1">
      <c r="B42" s="10"/>
      <c r="L42" s="10"/>
    </row>
    <row r="43" spans="2:12" ht="11.45" customHeight="1">
      <c r="B43" s="10"/>
      <c r="L43" s="10"/>
    </row>
    <row r="44" spans="2:12" ht="11.45" customHeight="1">
      <c r="B44" s="10"/>
      <c r="L44" s="10"/>
    </row>
    <row r="45" spans="2:12" ht="11.45" customHeight="1">
      <c r="B45" s="10"/>
      <c r="L45" s="10"/>
    </row>
    <row r="46" spans="2:12" ht="11.45" customHeight="1">
      <c r="B46" s="10"/>
      <c r="L46" s="10"/>
    </row>
    <row r="47" spans="2:12" ht="11.45" customHeight="1">
      <c r="B47" s="10"/>
      <c r="L47" s="10"/>
    </row>
    <row r="48" spans="2:12" ht="11.45" customHeight="1">
      <c r="B48" s="10"/>
      <c r="L48" s="10"/>
    </row>
    <row r="49" spans="2:12" ht="11.45" customHeight="1">
      <c r="B49" s="10"/>
      <c r="L49" s="10"/>
    </row>
    <row r="50" spans="2:12" s="1" customFormat="1" ht="9.9499999999999993" customHeight="1">
      <c r="B50" s="15"/>
      <c r="D50" s="19" t="s">
        <v>30</v>
      </c>
      <c r="E50" s="20"/>
      <c r="F50" s="20"/>
      <c r="G50" s="19" t="s">
        <v>31</v>
      </c>
      <c r="H50" s="20"/>
      <c r="I50" s="20"/>
      <c r="J50" s="20"/>
      <c r="K50" s="20"/>
      <c r="L50" s="15"/>
    </row>
    <row r="51" spans="2:12" ht="9.9499999999999993" customHeight="1">
      <c r="B51" s="10"/>
      <c r="L51" s="10"/>
    </row>
    <row r="52" spans="2:12" ht="9.9499999999999993" customHeight="1">
      <c r="B52" s="10"/>
      <c r="L52" s="10"/>
    </row>
    <row r="53" spans="2:12" ht="9.9499999999999993" customHeight="1">
      <c r="B53" s="10"/>
      <c r="L53" s="10"/>
    </row>
    <row r="54" spans="2:12" ht="9.9499999999999993" customHeight="1">
      <c r="B54" s="10"/>
      <c r="L54" s="10"/>
    </row>
    <row r="55" spans="2:12" ht="9.9499999999999993" customHeight="1">
      <c r="B55" s="10"/>
      <c r="L55" s="10"/>
    </row>
    <row r="56" spans="2:12" ht="9.9499999999999993" customHeight="1">
      <c r="B56" s="10"/>
      <c r="L56" s="10"/>
    </row>
    <row r="57" spans="2:12" ht="9.9499999999999993" customHeight="1">
      <c r="B57" s="10"/>
      <c r="L57" s="10"/>
    </row>
    <row r="58" spans="2:12" ht="9.9499999999999993" customHeight="1">
      <c r="B58" s="10"/>
      <c r="L58" s="10"/>
    </row>
    <row r="59" spans="2:12" ht="9.9499999999999993" customHeight="1">
      <c r="B59" s="10"/>
      <c r="L59" s="10"/>
    </row>
    <row r="60" spans="2:12" ht="9.9499999999999993" customHeight="1">
      <c r="B60" s="10"/>
      <c r="L60" s="10"/>
    </row>
    <row r="61" spans="2:12" s="1" customFormat="1" ht="9.9499999999999993" customHeight="1">
      <c r="B61" s="15"/>
      <c r="D61" s="21" t="s">
        <v>32</v>
      </c>
      <c r="E61" s="16"/>
      <c r="F61" s="50" t="s">
        <v>33</v>
      </c>
      <c r="G61" s="21" t="s">
        <v>32</v>
      </c>
      <c r="H61" s="16"/>
      <c r="I61" s="16"/>
      <c r="J61" s="51" t="s">
        <v>33</v>
      </c>
      <c r="K61" s="16"/>
      <c r="L61" s="15"/>
    </row>
    <row r="62" spans="2:12" ht="9.9499999999999993" customHeight="1">
      <c r="B62" s="10"/>
      <c r="L62" s="10"/>
    </row>
    <row r="63" spans="2:12" ht="9.9499999999999993" customHeight="1">
      <c r="B63" s="10"/>
      <c r="L63" s="10"/>
    </row>
    <row r="64" spans="2:12" ht="9.9499999999999993" customHeight="1">
      <c r="B64" s="10"/>
      <c r="L64" s="10"/>
    </row>
    <row r="65" spans="2:12" s="1" customFormat="1" ht="9.9499999999999993" customHeight="1">
      <c r="B65" s="15"/>
      <c r="D65" s="19" t="s">
        <v>34</v>
      </c>
      <c r="E65" s="20"/>
      <c r="F65" s="20"/>
      <c r="G65" s="19" t="s">
        <v>35</v>
      </c>
      <c r="H65" s="20"/>
      <c r="I65" s="20"/>
      <c r="J65" s="20"/>
      <c r="K65" s="20"/>
      <c r="L65" s="15"/>
    </row>
    <row r="66" spans="2:12" ht="9.9499999999999993" customHeight="1">
      <c r="B66" s="10"/>
      <c r="L66" s="10"/>
    </row>
    <row r="67" spans="2:12" ht="9.9499999999999993" customHeight="1">
      <c r="B67" s="10"/>
      <c r="L67" s="10"/>
    </row>
    <row r="68" spans="2:12" ht="9.9499999999999993" customHeight="1">
      <c r="B68" s="10"/>
      <c r="L68" s="10"/>
    </row>
    <row r="69" spans="2:12" ht="9.9499999999999993" customHeight="1">
      <c r="B69" s="10"/>
      <c r="L69" s="10"/>
    </row>
    <row r="70" spans="2:12" ht="9.9499999999999993" customHeight="1">
      <c r="B70" s="10"/>
      <c r="L70" s="10"/>
    </row>
    <row r="71" spans="2:12" ht="9.9499999999999993" customHeight="1">
      <c r="B71" s="10"/>
      <c r="L71" s="10"/>
    </row>
    <row r="72" spans="2:12" ht="9.9499999999999993" customHeight="1">
      <c r="B72" s="10"/>
      <c r="L72" s="10"/>
    </row>
    <row r="73" spans="2:12" ht="9.9499999999999993" customHeight="1">
      <c r="B73" s="10"/>
      <c r="L73" s="10"/>
    </row>
    <row r="74" spans="2:12" ht="9.9499999999999993" customHeight="1">
      <c r="B74" s="10"/>
      <c r="L74" s="10"/>
    </row>
    <row r="75" spans="2:12" ht="9.9499999999999993" customHeight="1">
      <c r="B75" s="10"/>
      <c r="L75" s="10"/>
    </row>
    <row r="76" spans="2:12" s="1" customFormat="1" ht="9.9499999999999993" customHeight="1">
      <c r="B76" s="15"/>
      <c r="D76" s="21" t="s">
        <v>32</v>
      </c>
      <c r="E76" s="16"/>
      <c r="F76" s="50" t="s">
        <v>33</v>
      </c>
      <c r="G76" s="21" t="s">
        <v>32</v>
      </c>
      <c r="H76" s="16"/>
      <c r="I76" s="16"/>
      <c r="J76" s="51" t="s">
        <v>33</v>
      </c>
      <c r="K76" s="16"/>
      <c r="L76" s="15"/>
    </row>
    <row r="77" spans="2:12" s="1" customFormat="1" ht="9.9499999999999993" customHeight="1"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15"/>
    </row>
    <row r="81" spans="2:47" s="1" customFormat="1" ht="6.95" customHeight="1">
      <c r="B81" s="24"/>
      <c r="C81" s="25"/>
      <c r="D81" s="25"/>
      <c r="E81" s="25"/>
      <c r="F81" s="25"/>
      <c r="G81" s="25"/>
      <c r="H81" s="25"/>
      <c r="I81" s="25"/>
      <c r="J81" s="25"/>
      <c r="K81" s="25"/>
      <c r="L81" s="15"/>
    </row>
    <row r="82" spans="2:47" s="1" customFormat="1" ht="24.95" customHeight="1">
      <c r="B82" s="15"/>
      <c r="C82" s="11" t="s">
        <v>45</v>
      </c>
      <c r="L82" s="15"/>
    </row>
    <row r="83" spans="2:47" s="1" customFormat="1" ht="6.95" customHeight="1">
      <c r="B83" s="15"/>
      <c r="L83" s="15"/>
    </row>
    <row r="84" spans="2:47" s="1" customFormat="1" ht="12" customHeight="1">
      <c r="B84" s="15"/>
      <c r="C84" s="13" t="s">
        <v>4</v>
      </c>
      <c r="L84" s="15"/>
    </row>
    <row r="85" spans="2:47" s="1" customFormat="1" ht="26.25" customHeight="1">
      <c r="B85" s="15"/>
      <c r="E85" s="134" t="str">
        <f>E7</f>
        <v>Kreatívne centrum - rekonštrukcia objektu - zmena 2024</v>
      </c>
      <c r="F85" s="135"/>
      <c r="G85" s="135"/>
      <c r="H85" s="135"/>
      <c r="L85" s="15"/>
    </row>
    <row r="86" spans="2:47" s="1" customFormat="1" ht="12" customHeight="1">
      <c r="B86" s="15"/>
      <c r="C86" s="13" t="s">
        <v>44</v>
      </c>
      <c r="L86" s="15"/>
    </row>
    <row r="87" spans="2:47" s="1" customFormat="1" ht="16.5" customHeight="1">
      <c r="B87" s="15"/>
      <c r="E87" s="136" t="str">
        <f>E9</f>
        <v>Architekrúra a Stavebné Riešenie</v>
      </c>
      <c r="F87" s="139"/>
      <c r="G87" s="139"/>
      <c r="H87" s="139"/>
      <c r="L87" s="15"/>
    </row>
    <row r="88" spans="2:47" s="1" customFormat="1" ht="6.95" customHeight="1">
      <c r="B88" s="15"/>
      <c r="L88" s="15"/>
    </row>
    <row r="89" spans="2:47" s="1" customFormat="1" ht="12" customHeight="1">
      <c r="B89" s="15"/>
      <c r="C89" s="13" t="s">
        <v>7</v>
      </c>
      <c r="F89" s="12" t="str">
        <f>F12</f>
        <v>k.ú. : Slovenská Ľupča, P.č.: 1820 adresa: Námestie SNP 2, 976 13 Slovenská Ľupča</v>
      </c>
      <c r="I89" s="13" t="s">
        <v>8</v>
      </c>
      <c r="J89" s="26">
        <f>IF(J12="","",J12)</f>
        <v>46199</v>
      </c>
      <c r="L89" s="15"/>
    </row>
    <row r="90" spans="2:47" s="1" customFormat="1" ht="6.95" customHeight="1">
      <c r="B90" s="15"/>
      <c r="L90" s="15"/>
    </row>
    <row r="91" spans="2:47" s="1" customFormat="1" ht="25.7" customHeight="1">
      <c r="B91" s="15"/>
      <c r="C91" s="13" t="s">
        <v>9</v>
      </c>
      <c r="F91" s="12" t="str">
        <f>E15</f>
        <v>Obec Slovenská Ľupča, Námestie SNP 13, 97613 Slovenská Ľupča</v>
      </c>
      <c r="I91" s="13" t="s">
        <v>14</v>
      </c>
      <c r="J91" s="14" t="str">
        <f>E21</f>
        <v xml:space="preserve">EK Solutions s. r. o., Jegorovova 37, 974 01 Banská Bystrica
</v>
      </c>
      <c r="L91" s="15"/>
    </row>
    <row r="92" spans="2:47" s="1" customFormat="1" ht="15.2" customHeight="1">
      <c r="B92" s="15"/>
      <c r="C92" s="13" t="s">
        <v>12</v>
      </c>
      <c r="F92" s="12" t="str">
        <f>IF(E18="","",E18)</f>
        <v>určený výberom</v>
      </c>
      <c r="I92" s="13" t="s">
        <v>15</v>
      </c>
      <c r="J92" s="14">
        <f>E24</f>
        <v>0</v>
      </c>
      <c r="L92" s="15"/>
    </row>
    <row r="93" spans="2:47" s="1" customFormat="1" ht="10.35" customHeight="1">
      <c r="B93" s="15"/>
      <c r="L93" s="15"/>
    </row>
    <row r="94" spans="2:47" s="1" customFormat="1" ht="29.25" customHeight="1">
      <c r="B94" s="15"/>
      <c r="C94" s="52" t="s">
        <v>46</v>
      </c>
      <c r="D94" s="44"/>
      <c r="E94" s="44"/>
      <c r="F94" s="44"/>
      <c r="G94" s="44"/>
      <c r="H94" s="44"/>
      <c r="I94" s="44"/>
      <c r="J94" s="53" t="s">
        <v>47</v>
      </c>
      <c r="K94" s="44"/>
      <c r="L94" s="15"/>
    </row>
    <row r="95" spans="2:47" s="1" customFormat="1" ht="10.35" customHeight="1">
      <c r="B95" s="15"/>
      <c r="L95" s="15"/>
    </row>
    <row r="96" spans="2:47" s="1" customFormat="1" ht="22.9" customHeight="1">
      <c r="B96" s="15"/>
      <c r="C96" s="54" t="s">
        <v>48</v>
      </c>
      <c r="J96" s="34">
        <f>J141</f>
        <v>0</v>
      </c>
      <c r="L96" s="15"/>
      <c r="AU96" s="7" t="s">
        <v>49</v>
      </c>
    </row>
    <row r="97" spans="2:27" s="3" customFormat="1" ht="24.95" customHeight="1">
      <c r="B97" s="55"/>
      <c r="D97" s="56" t="s">
        <v>50</v>
      </c>
      <c r="E97" s="57"/>
      <c r="F97" s="57"/>
      <c r="G97" s="57"/>
      <c r="H97" s="57"/>
      <c r="I97" s="57"/>
      <c r="J97" s="58">
        <f>J142</f>
        <v>0</v>
      </c>
      <c r="L97" s="55"/>
      <c r="AA97" s="132"/>
    </row>
    <row r="98" spans="2:27" s="4" customFormat="1" ht="19.899999999999999" customHeight="1">
      <c r="B98" s="59"/>
      <c r="D98" s="60" t="s">
        <v>51</v>
      </c>
      <c r="E98" s="61"/>
      <c r="F98" s="61"/>
      <c r="G98" s="61"/>
      <c r="H98" s="61"/>
      <c r="I98" s="61"/>
      <c r="J98" s="62">
        <f>J143</f>
        <v>0</v>
      </c>
      <c r="L98" s="59"/>
    </row>
    <row r="99" spans="2:27" s="4" customFormat="1" ht="19.899999999999999" customHeight="1">
      <c r="B99" s="59"/>
      <c r="D99" s="60" t="s">
        <v>52</v>
      </c>
      <c r="E99" s="61"/>
      <c r="F99" s="61"/>
      <c r="G99" s="61"/>
      <c r="H99" s="61"/>
      <c r="I99" s="61"/>
      <c r="J99" s="62">
        <f>J153</f>
        <v>0</v>
      </c>
      <c r="L99" s="59"/>
    </row>
    <row r="100" spans="2:27" s="4" customFormat="1" ht="19.899999999999999" customHeight="1">
      <c r="B100" s="59"/>
      <c r="D100" s="60" t="s">
        <v>53</v>
      </c>
      <c r="E100" s="61"/>
      <c r="F100" s="61"/>
      <c r="G100" s="61"/>
      <c r="H100" s="61"/>
      <c r="I100" s="61"/>
      <c r="J100" s="62">
        <f>J159</f>
        <v>0</v>
      </c>
      <c r="L100" s="59"/>
    </row>
    <row r="101" spans="2:27" s="4" customFormat="1" ht="19.899999999999999" customHeight="1">
      <c r="B101" s="59"/>
      <c r="D101" s="60" t="s">
        <v>54</v>
      </c>
      <c r="E101" s="61"/>
      <c r="F101" s="61"/>
      <c r="G101" s="61"/>
      <c r="H101" s="61"/>
      <c r="I101" s="61"/>
      <c r="J101" s="62">
        <f>J173</f>
        <v>0</v>
      </c>
      <c r="L101" s="59"/>
    </row>
    <row r="102" spans="2:27" s="4" customFormat="1" ht="19.899999999999999" customHeight="1">
      <c r="B102" s="59"/>
      <c r="D102" s="60" t="s">
        <v>55</v>
      </c>
      <c r="E102" s="61"/>
      <c r="F102" s="61"/>
      <c r="G102" s="61"/>
      <c r="H102" s="61"/>
      <c r="I102" s="61"/>
      <c r="J102" s="62">
        <f>J191</f>
        <v>0</v>
      </c>
      <c r="L102" s="59"/>
    </row>
    <row r="103" spans="2:27" s="4" customFormat="1" ht="19.899999999999999" customHeight="1">
      <c r="B103" s="59"/>
      <c r="D103" s="60" t="s">
        <v>56</v>
      </c>
      <c r="E103" s="61"/>
      <c r="F103" s="61"/>
      <c r="G103" s="61"/>
      <c r="H103" s="61"/>
      <c r="I103" s="61"/>
      <c r="J103" s="62">
        <f>J233</f>
        <v>0</v>
      </c>
      <c r="L103" s="59"/>
    </row>
    <row r="104" spans="2:27" s="3" customFormat="1" ht="24.95" customHeight="1">
      <c r="B104" s="55"/>
      <c r="D104" s="56" t="s">
        <v>57</v>
      </c>
      <c r="E104" s="57"/>
      <c r="F104" s="57"/>
      <c r="G104" s="57"/>
      <c r="H104" s="57"/>
      <c r="I104" s="57"/>
      <c r="J104" s="58">
        <f>J235</f>
        <v>0</v>
      </c>
      <c r="L104" s="55"/>
      <c r="V104" s="132">
        <f>Y104-J96</f>
        <v>0</v>
      </c>
      <c r="W104" s="4"/>
      <c r="Y104" s="132">
        <f>SUM(Y105:Y117)</f>
        <v>0</v>
      </c>
      <c r="AA104" s="132"/>
    </row>
    <row r="105" spans="2:27" s="4" customFormat="1" ht="19.899999999999999" customHeight="1">
      <c r="B105" s="59"/>
      <c r="D105" s="60" t="s">
        <v>58</v>
      </c>
      <c r="E105" s="61"/>
      <c r="F105" s="61"/>
      <c r="G105" s="61"/>
      <c r="H105" s="61"/>
      <c r="I105" s="61"/>
      <c r="J105" s="62">
        <f>J236</f>
        <v>0</v>
      </c>
      <c r="L105" s="59"/>
      <c r="V105" s="120" t="s">
        <v>948</v>
      </c>
      <c r="Y105" s="114">
        <f>SUMIFS(J$143:J$456,V$143:V$456,V105)</f>
        <v>0</v>
      </c>
      <c r="Z105" s="115"/>
    </row>
    <row r="106" spans="2:27" s="4" customFormat="1" ht="19.899999999999999" customHeight="1">
      <c r="B106" s="59"/>
      <c r="D106" s="60" t="s">
        <v>59</v>
      </c>
      <c r="E106" s="61"/>
      <c r="F106" s="61"/>
      <c r="G106" s="61"/>
      <c r="H106" s="61"/>
      <c r="I106" s="61"/>
      <c r="J106" s="62">
        <f>J247</f>
        <v>0</v>
      </c>
      <c r="L106" s="59"/>
      <c r="V106" s="118" t="s">
        <v>949</v>
      </c>
      <c r="W106" s="113"/>
      <c r="Y106" s="114">
        <f>SUMIFS(J$143:J$456,V$143:V$456,V106)</f>
        <v>0</v>
      </c>
    </row>
    <row r="107" spans="2:27" s="4" customFormat="1" ht="19.899999999999999" customHeight="1">
      <c r="B107" s="59"/>
      <c r="D107" s="60" t="s">
        <v>60</v>
      </c>
      <c r="E107" s="61"/>
      <c r="F107" s="61"/>
      <c r="G107" s="61"/>
      <c r="H107" s="61"/>
      <c r="I107" s="61"/>
      <c r="J107" s="62">
        <f>J255</f>
        <v>0</v>
      </c>
      <c r="L107" s="59"/>
      <c r="V107" s="123" t="s">
        <v>950</v>
      </c>
      <c r="W107" s="113"/>
      <c r="Y107" s="114">
        <f>SUMIFS(J$143:J$456,V$143:V$456,V107)</f>
        <v>0</v>
      </c>
    </row>
    <row r="108" spans="2:27" s="4" customFormat="1" ht="19.899999999999999" customHeight="1">
      <c r="B108" s="59"/>
      <c r="D108" s="60" t="s">
        <v>61</v>
      </c>
      <c r="E108" s="61"/>
      <c r="F108" s="61"/>
      <c r="G108" s="61"/>
      <c r="H108" s="61"/>
      <c r="I108" s="61"/>
      <c r="J108" s="62">
        <f>J263</f>
        <v>0</v>
      </c>
      <c r="L108" s="59"/>
      <c r="V108" s="122" t="s">
        <v>951</v>
      </c>
      <c r="W108" s="113"/>
      <c r="Y108" s="114">
        <f>SUMIFS(J$143:J$456,V$143:V$456,V108)</f>
        <v>0</v>
      </c>
    </row>
    <row r="109" spans="2:27" s="4" customFormat="1" ht="19.899999999999999" customHeight="1">
      <c r="B109" s="59"/>
      <c r="D109" s="60" t="s">
        <v>62</v>
      </c>
      <c r="E109" s="61"/>
      <c r="F109" s="61"/>
      <c r="G109" s="61"/>
      <c r="H109" s="61"/>
      <c r="I109" s="61"/>
      <c r="J109" s="62">
        <f>J278</f>
        <v>0</v>
      </c>
      <c r="L109" s="59"/>
      <c r="V109" s="124" t="s">
        <v>952</v>
      </c>
      <c r="Y109" s="114">
        <f>SUMIFS(J$143:J$456,V$143:V$456,V109)</f>
        <v>0</v>
      </c>
    </row>
    <row r="110" spans="2:27" s="4" customFormat="1" ht="19.899999999999999" customHeight="1">
      <c r="B110" s="59"/>
      <c r="D110" s="60" t="s">
        <v>63</v>
      </c>
      <c r="E110" s="61"/>
      <c r="F110" s="61"/>
      <c r="G110" s="61"/>
      <c r="H110" s="61"/>
      <c r="I110" s="61"/>
      <c r="J110" s="62">
        <f>J290</f>
        <v>0</v>
      </c>
      <c r="L110" s="59"/>
      <c r="V110" s="119" t="s">
        <v>953</v>
      </c>
      <c r="W110" s="113"/>
      <c r="Y110" s="114">
        <f>SUMIFS(J$143:J$456,V$143:V$456,V110)</f>
        <v>0</v>
      </c>
    </row>
    <row r="111" spans="2:27" s="4" customFormat="1" ht="19.899999999999999" customHeight="1">
      <c r="B111" s="59"/>
      <c r="D111" s="60" t="s">
        <v>64</v>
      </c>
      <c r="E111" s="61"/>
      <c r="F111" s="61"/>
      <c r="G111" s="61"/>
      <c r="H111" s="61"/>
      <c r="I111" s="61"/>
      <c r="J111" s="62">
        <f>J324</f>
        <v>0</v>
      </c>
      <c r="L111" s="59"/>
      <c r="V111" s="126" t="s">
        <v>954</v>
      </c>
      <c r="Y111" s="114">
        <f>SUMIFS(J$143:J$456,V$143:V$456,V111)</f>
        <v>0</v>
      </c>
    </row>
    <row r="112" spans="2:27" s="4" customFormat="1" ht="19.899999999999999" customHeight="1">
      <c r="B112" s="59"/>
      <c r="D112" s="60" t="s">
        <v>65</v>
      </c>
      <c r="E112" s="61"/>
      <c r="F112" s="61"/>
      <c r="G112" s="61"/>
      <c r="H112" s="61"/>
      <c r="I112" s="61"/>
      <c r="J112" s="62">
        <f>J327</f>
        <v>0</v>
      </c>
      <c r="L112" s="59"/>
      <c r="V112" s="117" t="s">
        <v>955</v>
      </c>
      <c r="Y112" s="114">
        <f>SUMIFS(J$143:J$456,V$143:V$456,V112)</f>
        <v>0</v>
      </c>
    </row>
    <row r="113" spans="2:25" s="4" customFormat="1" ht="19.899999999999999" customHeight="1">
      <c r="B113" s="59"/>
      <c r="D113" s="60" t="s">
        <v>66</v>
      </c>
      <c r="E113" s="61"/>
      <c r="F113" s="61"/>
      <c r="G113" s="61"/>
      <c r="H113" s="61"/>
      <c r="I113" s="61"/>
      <c r="J113" s="62">
        <f>J357</f>
        <v>0</v>
      </c>
      <c r="L113" s="59"/>
      <c r="V113" s="127" t="s">
        <v>956</v>
      </c>
      <c r="W113" s="113"/>
      <c r="Y113" s="114">
        <f>SUMIFS(J$143:J$456,V$143:V$456,V113)</f>
        <v>0</v>
      </c>
    </row>
    <row r="114" spans="2:25" s="4" customFormat="1" ht="19.899999999999999" customHeight="1">
      <c r="B114" s="59"/>
      <c r="D114" s="60" t="s">
        <v>67</v>
      </c>
      <c r="E114" s="61"/>
      <c r="F114" s="61"/>
      <c r="G114" s="61"/>
      <c r="H114" s="61"/>
      <c r="I114" s="61"/>
      <c r="J114" s="62">
        <f>J407</f>
        <v>0</v>
      </c>
      <c r="L114" s="59"/>
      <c r="V114" s="121" t="s">
        <v>957</v>
      </c>
      <c r="Y114" s="114">
        <f>SUMIFS(J$143:J$456,V$143:V$456,V114)</f>
        <v>0</v>
      </c>
    </row>
    <row r="115" spans="2:25" s="4" customFormat="1" ht="19.899999999999999" customHeight="1">
      <c r="B115" s="59"/>
      <c r="D115" s="60" t="s">
        <v>68</v>
      </c>
      <c r="E115" s="61"/>
      <c r="F115" s="61"/>
      <c r="G115" s="61"/>
      <c r="H115" s="61"/>
      <c r="I115" s="61"/>
      <c r="J115" s="62">
        <f>J414</f>
        <v>0</v>
      </c>
      <c r="L115" s="59"/>
      <c r="V115" s="125" t="s">
        <v>958</v>
      </c>
      <c r="Y115" s="114">
        <f>SUMIFS(J$143:J$456,V$143:V$456,V115)</f>
        <v>0</v>
      </c>
    </row>
    <row r="116" spans="2:25" s="4" customFormat="1" ht="19.899999999999999" customHeight="1">
      <c r="B116" s="59"/>
      <c r="D116" s="60" t="s">
        <v>69</v>
      </c>
      <c r="E116" s="61"/>
      <c r="F116" s="61"/>
      <c r="G116" s="61"/>
      <c r="H116" s="61"/>
      <c r="I116" s="61"/>
      <c r="J116" s="62">
        <f>J424</f>
        <v>0</v>
      </c>
      <c r="L116" s="59"/>
      <c r="V116" s="130" t="s">
        <v>959</v>
      </c>
      <c r="W116" s="113"/>
      <c r="Y116" s="114">
        <f>SUMIFS(J$143:J$456,V$143:V$456,V116)</f>
        <v>0</v>
      </c>
    </row>
    <row r="117" spans="2:25" s="4" customFormat="1" ht="19.899999999999999" customHeight="1">
      <c r="B117" s="59"/>
      <c r="D117" s="60" t="s">
        <v>70</v>
      </c>
      <c r="E117" s="61"/>
      <c r="F117" s="61"/>
      <c r="G117" s="61"/>
      <c r="H117" s="61"/>
      <c r="I117" s="61"/>
      <c r="J117" s="62">
        <f>J432</f>
        <v>0</v>
      </c>
      <c r="L117" s="59"/>
      <c r="V117" s="131" t="s">
        <v>960</v>
      </c>
      <c r="Y117" s="114">
        <f>SUMIFS(J$143:J$456,V$143:V$456,V117)</f>
        <v>0</v>
      </c>
    </row>
    <row r="118" spans="2:25" s="4" customFormat="1" ht="19.899999999999999" customHeight="1">
      <c r="B118" s="59"/>
      <c r="D118" s="60" t="s">
        <v>71</v>
      </c>
      <c r="E118" s="61"/>
      <c r="F118" s="61"/>
      <c r="G118" s="61"/>
      <c r="H118" s="61"/>
      <c r="I118" s="61"/>
      <c r="J118" s="62">
        <f>J438</f>
        <v>0</v>
      </c>
      <c r="L118" s="59"/>
      <c r="V118" s="116"/>
      <c r="Y118" s="114"/>
    </row>
    <row r="119" spans="2:25" s="4" customFormat="1" ht="19.899999999999999" customHeight="1">
      <c r="B119" s="59"/>
      <c r="D119" s="60" t="s">
        <v>72</v>
      </c>
      <c r="E119" s="61"/>
      <c r="F119" s="61"/>
      <c r="G119" s="61"/>
      <c r="H119" s="61"/>
      <c r="I119" s="61"/>
      <c r="J119" s="62">
        <f>J443</f>
        <v>0</v>
      </c>
      <c r="L119" s="59"/>
      <c r="V119" s="112"/>
    </row>
    <row r="120" spans="2:25" s="3" customFormat="1" ht="24.95" customHeight="1">
      <c r="B120" s="55"/>
      <c r="D120" s="56" t="s">
        <v>73</v>
      </c>
      <c r="E120" s="57"/>
      <c r="F120" s="57"/>
      <c r="G120" s="57"/>
      <c r="H120" s="57"/>
      <c r="I120" s="57"/>
      <c r="J120" s="58">
        <f>J449</f>
        <v>0</v>
      </c>
      <c r="L120" s="55"/>
    </row>
    <row r="121" spans="2:25" s="4" customFormat="1" ht="19.899999999999999" customHeight="1">
      <c r="B121" s="59"/>
      <c r="D121" s="60" t="s">
        <v>893</v>
      </c>
      <c r="E121" s="61"/>
      <c r="F121" s="61"/>
      <c r="G121" s="61"/>
      <c r="H121" s="61"/>
      <c r="I121" s="61"/>
      <c r="J121" s="62">
        <f>J450</f>
        <v>0</v>
      </c>
      <c r="L121" s="59"/>
    </row>
    <row r="122" spans="2:25" s="1" customFormat="1" ht="21.75" customHeight="1">
      <c r="B122" s="15"/>
      <c r="L122" s="15"/>
    </row>
    <row r="123" spans="2:25" s="1" customFormat="1" ht="6.95" customHeight="1">
      <c r="B123" s="22"/>
      <c r="C123" s="23"/>
      <c r="D123" s="23"/>
      <c r="E123" s="23"/>
      <c r="F123" s="23"/>
      <c r="G123" s="23"/>
      <c r="H123" s="23"/>
      <c r="I123" s="23"/>
      <c r="J123" s="23"/>
      <c r="K123" s="23"/>
      <c r="L123" s="15"/>
    </row>
    <row r="127" spans="2:25" s="1" customFormat="1" ht="6.95" customHeight="1">
      <c r="B127" s="24"/>
      <c r="C127" s="25"/>
      <c r="D127" s="25"/>
      <c r="E127" s="25"/>
      <c r="F127" s="25"/>
      <c r="G127" s="25"/>
      <c r="H127" s="25"/>
      <c r="I127" s="25"/>
      <c r="J127" s="25"/>
      <c r="K127" s="25"/>
      <c r="L127" s="15"/>
    </row>
    <row r="128" spans="2:25" s="1" customFormat="1" ht="24.95" customHeight="1">
      <c r="B128" s="15"/>
      <c r="C128" s="11" t="s">
        <v>74</v>
      </c>
      <c r="L128" s="15"/>
    </row>
    <row r="129" spans="2:65" s="1" customFormat="1" ht="6.95" customHeight="1">
      <c r="B129" s="15"/>
      <c r="L129" s="15"/>
    </row>
    <row r="130" spans="2:65" s="1" customFormat="1" ht="12" customHeight="1">
      <c r="B130" s="15"/>
      <c r="C130" s="13" t="s">
        <v>4</v>
      </c>
      <c r="L130" s="15"/>
    </row>
    <row r="131" spans="2:65" s="1" customFormat="1" ht="26.25" customHeight="1">
      <c r="B131" s="15"/>
      <c r="E131" s="134" t="str">
        <f>E7</f>
        <v>Kreatívne centrum - rekonštrukcia objektu - zmena 2024</v>
      </c>
      <c r="F131" s="135"/>
      <c r="G131" s="135"/>
      <c r="H131" s="135"/>
      <c r="L131" s="15"/>
    </row>
    <row r="132" spans="2:65" s="1" customFormat="1" ht="12" customHeight="1">
      <c r="B132" s="15"/>
      <c r="C132" s="13" t="s">
        <v>44</v>
      </c>
      <c r="L132" s="15"/>
    </row>
    <row r="133" spans="2:65" s="1" customFormat="1" ht="16.5" customHeight="1">
      <c r="B133" s="15"/>
      <c r="E133" s="136" t="str">
        <f>E9</f>
        <v>Architekrúra a Stavebné Riešenie</v>
      </c>
      <c r="F133" s="136"/>
      <c r="G133" s="136"/>
      <c r="H133" s="136"/>
      <c r="L133" s="15"/>
    </row>
    <row r="134" spans="2:65" s="1" customFormat="1" ht="6.95" customHeight="1">
      <c r="B134" s="15"/>
      <c r="L134" s="15"/>
    </row>
    <row r="135" spans="2:65" s="1" customFormat="1" ht="12" customHeight="1">
      <c r="B135" s="15"/>
      <c r="C135" s="13" t="s">
        <v>7</v>
      </c>
      <c r="F135" s="12" t="str">
        <f>F12</f>
        <v>k.ú. : Slovenská Ľupča, P.č.: 1820 adresa: Námestie SNP 2, 976 13 Slovenská Ľupča</v>
      </c>
      <c r="I135" s="13" t="s">
        <v>8</v>
      </c>
      <c r="J135" s="26">
        <f>IF(J12="","",J12)</f>
        <v>46199</v>
      </c>
      <c r="L135" s="15"/>
    </row>
    <row r="136" spans="2:65" s="1" customFormat="1" ht="6.95" customHeight="1">
      <c r="B136" s="15"/>
      <c r="L136" s="15"/>
    </row>
    <row r="137" spans="2:65" s="1" customFormat="1" ht="25.7" customHeight="1">
      <c r="B137" s="15"/>
      <c r="C137" s="13" t="s">
        <v>9</v>
      </c>
      <c r="F137" s="12" t="str">
        <f>E15</f>
        <v>Obec Slovenská Ľupča, Námestie SNP 13, 97613 Slovenská Ľupča</v>
      </c>
      <c r="I137" s="13" t="s">
        <v>14</v>
      </c>
      <c r="J137" s="14" t="str">
        <f>E21</f>
        <v xml:space="preserve">EK Solutions s. r. o., Jegorovova 37, 974 01 Banská Bystrica
</v>
      </c>
      <c r="L137" s="15"/>
    </row>
    <row r="138" spans="2:65" s="1" customFormat="1" ht="15.2" customHeight="1">
      <c r="B138" s="15"/>
      <c r="C138" s="13" t="s">
        <v>12</v>
      </c>
      <c r="F138" s="12" t="str">
        <f>IF(E18="","",E18)</f>
        <v>určený výberom</v>
      </c>
      <c r="I138" s="13" t="s">
        <v>15</v>
      </c>
      <c r="J138" s="14">
        <f>E24</f>
        <v>0</v>
      </c>
      <c r="L138" s="15"/>
    </row>
    <row r="139" spans="2:65" s="1" customFormat="1" ht="10.35" customHeight="1">
      <c r="B139" s="15"/>
      <c r="L139" s="15"/>
    </row>
    <row r="140" spans="2:65" s="5" customFormat="1" ht="29.25" customHeight="1">
      <c r="B140" s="63"/>
      <c r="C140" s="64" t="s">
        <v>75</v>
      </c>
      <c r="D140" s="65" t="s">
        <v>38</v>
      </c>
      <c r="E140" s="65" t="s">
        <v>36</v>
      </c>
      <c r="F140" s="65" t="s">
        <v>37</v>
      </c>
      <c r="G140" s="65" t="s">
        <v>76</v>
      </c>
      <c r="H140" s="65" t="s">
        <v>77</v>
      </c>
      <c r="I140" s="65" t="s">
        <v>78</v>
      </c>
      <c r="J140" s="66" t="s">
        <v>47</v>
      </c>
      <c r="K140" s="67" t="s">
        <v>79</v>
      </c>
      <c r="L140" s="63"/>
      <c r="M140" s="29" t="s">
        <v>0</v>
      </c>
      <c r="N140" s="30" t="s">
        <v>21</v>
      </c>
      <c r="O140" s="30" t="s">
        <v>80</v>
      </c>
      <c r="P140" s="30" t="s">
        <v>81</v>
      </c>
      <c r="Q140" s="30" t="s">
        <v>82</v>
      </c>
      <c r="R140" s="30" t="s">
        <v>83</v>
      </c>
      <c r="S140" s="30" t="s">
        <v>84</v>
      </c>
      <c r="T140" s="31" t="s">
        <v>85</v>
      </c>
    </row>
    <row r="141" spans="2:65" s="1" customFormat="1" ht="22.9" customHeight="1">
      <c r="B141" s="15"/>
      <c r="C141" s="33" t="s">
        <v>48</v>
      </c>
      <c r="J141" s="68">
        <f>J142+J235+J449</f>
        <v>0</v>
      </c>
      <c r="L141" s="15"/>
      <c r="M141" s="32"/>
      <c r="N141" s="27"/>
      <c r="O141" s="27"/>
      <c r="P141" s="69" t="e">
        <f>P142+P235+P449</f>
        <v>#REF!</v>
      </c>
      <c r="Q141" s="27"/>
      <c r="R141" s="69" t="e">
        <f>R142+R235+R449</f>
        <v>#REF!</v>
      </c>
      <c r="S141" s="27"/>
      <c r="T141" s="70" t="e">
        <f>T142+T235+T449</f>
        <v>#REF!</v>
      </c>
      <c r="AT141" s="7" t="s">
        <v>39</v>
      </c>
      <c r="AU141" s="7" t="s">
        <v>49</v>
      </c>
      <c r="BK141" s="71" t="e">
        <f>BK142+BK235+BK449</f>
        <v>#REF!</v>
      </c>
    </row>
    <row r="142" spans="2:65" s="6" customFormat="1" ht="25.9" customHeight="1">
      <c r="B142" s="72"/>
      <c r="D142" s="73" t="s">
        <v>39</v>
      </c>
      <c r="E142" s="74" t="s">
        <v>86</v>
      </c>
      <c r="F142" s="74" t="s">
        <v>87</v>
      </c>
      <c r="J142" s="75">
        <f>J143+J153+J159+J173+J191+J233</f>
        <v>0</v>
      </c>
      <c r="L142" s="72"/>
      <c r="M142" s="76"/>
      <c r="P142" s="77" t="e">
        <f>P143+P153+P159+#REF!+P173+P191+P233</f>
        <v>#REF!</v>
      </c>
      <c r="R142" s="77" t="e">
        <f>R143+R153+R159+#REF!+R173+R191+R233</f>
        <v>#REF!</v>
      </c>
      <c r="T142" s="78" t="e">
        <f>T143+T153+T159+#REF!+T173+T191+T233</f>
        <v>#REF!</v>
      </c>
      <c r="AR142" s="73" t="s">
        <v>41</v>
      </c>
      <c r="AT142" s="79" t="s">
        <v>39</v>
      </c>
      <c r="AU142" s="79" t="s">
        <v>40</v>
      </c>
      <c r="AY142" s="73" t="s">
        <v>88</v>
      </c>
      <c r="BK142" s="80" t="e">
        <f>BK143+BK153+BK159+#REF!+BK173+BK191+BK233</f>
        <v>#REF!</v>
      </c>
    </row>
    <row r="143" spans="2:65" s="6" customFormat="1" ht="22.9" customHeight="1">
      <c r="B143" s="72"/>
      <c r="D143" s="73" t="s">
        <v>39</v>
      </c>
      <c r="E143" s="81" t="s">
        <v>41</v>
      </c>
      <c r="F143" s="81" t="s">
        <v>89</v>
      </c>
      <c r="J143" s="82">
        <f>SUM(J144:J152)</f>
        <v>0</v>
      </c>
      <c r="L143" s="72"/>
      <c r="M143" s="76"/>
      <c r="P143" s="77">
        <f>SUM(P144:P152)</f>
        <v>295.40462023999993</v>
      </c>
      <c r="R143" s="77">
        <f>SUM(R144:R152)</f>
        <v>0</v>
      </c>
      <c r="T143" s="78">
        <f>SUM(T144:T152)</f>
        <v>0</v>
      </c>
      <c r="V143" s="107"/>
      <c r="AR143" s="73" t="s">
        <v>41</v>
      </c>
      <c r="AT143" s="79" t="s">
        <v>39</v>
      </c>
      <c r="AU143" s="79" t="s">
        <v>41</v>
      </c>
      <c r="AY143" s="73" t="s">
        <v>88</v>
      </c>
      <c r="BK143" s="80">
        <f>SUM(BK144:BK152)</f>
        <v>0</v>
      </c>
    </row>
    <row r="144" spans="2:65" s="1" customFormat="1" ht="24.2" customHeight="1">
      <c r="B144" s="83"/>
      <c r="C144" s="84" t="s">
        <v>41</v>
      </c>
      <c r="D144" s="84" t="s">
        <v>90</v>
      </c>
      <c r="E144" s="85" t="s">
        <v>91</v>
      </c>
      <c r="F144" s="86" t="s">
        <v>935</v>
      </c>
      <c r="G144" s="87" t="s">
        <v>92</v>
      </c>
      <c r="H144" s="88">
        <f>H157*0.6*1.2</f>
        <v>64.295999999999992</v>
      </c>
      <c r="I144" s="89"/>
      <c r="J144" s="89">
        <f t="shared" ref="J144:J152" si="0">ROUND(I144*H144,2)</f>
        <v>0</v>
      </c>
      <c r="K144" s="90"/>
      <c r="L144" s="15"/>
      <c r="M144" s="91" t="s">
        <v>0</v>
      </c>
      <c r="N144" s="92" t="s">
        <v>23</v>
      </c>
      <c r="O144" s="93">
        <v>3.1739999999999999</v>
      </c>
      <c r="P144" s="93">
        <f t="shared" ref="P144:P152" si="1">O144*H144</f>
        <v>204.07550399999997</v>
      </c>
      <c r="Q144" s="93">
        <v>0</v>
      </c>
      <c r="R144" s="93">
        <f t="shared" ref="R144:R152" si="2">Q144*H144</f>
        <v>0</v>
      </c>
      <c r="S144" s="93">
        <v>0</v>
      </c>
      <c r="T144" s="94">
        <f t="shared" ref="T144:T152" si="3">S144*H144</f>
        <v>0</v>
      </c>
      <c r="V144" s="120" t="s">
        <v>948</v>
      </c>
      <c r="AR144" s="95" t="s">
        <v>93</v>
      </c>
      <c r="AT144" s="95" t="s">
        <v>90</v>
      </c>
      <c r="AU144" s="95" t="s">
        <v>94</v>
      </c>
      <c r="AY144" s="7" t="s">
        <v>88</v>
      </c>
      <c r="BE144" s="96">
        <f t="shared" ref="BE144:BE152" si="4">IF(N144="základná",J144,0)</f>
        <v>0</v>
      </c>
      <c r="BF144" s="96">
        <f t="shared" ref="BF144:BF152" si="5">IF(N144="znížená",J144,0)</f>
        <v>0</v>
      </c>
      <c r="BG144" s="96">
        <f t="shared" ref="BG144:BG152" si="6">IF(N144="zákl. prenesená",J144,0)</f>
        <v>0</v>
      </c>
      <c r="BH144" s="96">
        <f t="shared" ref="BH144:BH152" si="7">IF(N144="zníž. prenesená",J144,0)</f>
        <v>0</v>
      </c>
      <c r="BI144" s="96">
        <f t="shared" ref="BI144:BI152" si="8">IF(N144="nulová",J144,0)</f>
        <v>0</v>
      </c>
      <c r="BJ144" s="7" t="s">
        <v>94</v>
      </c>
      <c r="BK144" s="96">
        <f t="shared" ref="BK144:BK152" si="9">ROUND(I144*H144,2)</f>
        <v>0</v>
      </c>
      <c r="BL144" s="7" t="s">
        <v>93</v>
      </c>
      <c r="BM144" s="95" t="s">
        <v>95</v>
      </c>
    </row>
    <row r="145" spans="2:65" s="1" customFormat="1" ht="29.1" customHeight="1">
      <c r="B145" s="83"/>
      <c r="C145" s="84" t="s">
        <v>94</v>
      </c>
      <c r="D145" s="84" t="s">
        <v>90</v>
      </c>
      <c r="E145" s="85" t="s">
        <v>96</v>
      </c>
      <c r="F145" s="86" t="s">
        <v>97</v>
      </c>
      <c r="G145" s="87" t="s">
        <v>92</v>
      </c>
      <c r="H145" s="88">
        <v>2.56</v>
      </c>
      <c r="I145" s="89"/>
      <c r="J145" s="89">
        <f t="shared" si="0"/>
        <v>0</v>
      </c>
      <c r="K145" s="90"/>
      <c r="L145" s="15"/>
      <c r="M145" s="91" t="s">
        <v>0</v>
      </c>
      <c r="N145" s="92" t="s">
        <v>23</v>
      </c>
      <c r="O145" s="93">
        <v>7.2869999999999999</v>
      </c>
      <c r="P145" s="93">
        <f t="shared" si="1"/>
        <v>18.654720000000001</v>
      </c>
      <c r="Q145" s="93">
        <v>0</v>
      </c>
      <c r="R145" s="93">
        <f t="shared" si="2"/>
        <v>0</v>
      </c>
      <c r="S145" s="93">
        <v>0</v>
      </c>
      <c r="T145" s="94">
        <f t="shared" si="3"/>
        <v>0</v>
      </c>
      <c r="V145" s="120" t="s">
        <v>948</v>
      </c>
      <c r="AR145" s="95" t="s">
        <v>93</v>
      </c>
      <c r="AT145" s="95" t="s">
        <v>90</v>
      </c>
      <c r="AU145" s="95" t="s">
        <v>94</v>
      </c>
      <c r="AY145" s="7" t="s">
        <v>88</v>
      </c>
      <c r="BE145" s="96">
        <f t="shared" si="4"/>
        <v>0</v>
      </c>
      <c r="BF145" s="96">
        <f t="shared" si="5"/>
        <v>0</v>
      </c>
      <c r="BG145" s="96">
        <f t="shared" si="6"/>
        <v>0</v>
      </c>
      <c r="BH145" s="96">
        <f t="shared" si="7"/>
        <v>0</v>
      </c>
      <c r="BI145" s="96">
        <f t="shared" si="8"/>
        <v>0</v>
      </c>
      <c r="BJ145" s="7" t="s">
        <v>94</v>
      </c>
      <c r="BK145" s="96">
        <f t="shared" si="9"/>
        <v>0</v>
      </c>
      <c r="BL145" s="7" t="s">
        <v>93</v>
      </c>
      <c r="BM145" s="95" t="s">
        <v>98</v>
      </c>
    </row>
    <row r="146" spans="2:65" s="1" customFormat="1" ht="37.9" customHeight="1">
      <c r="B146" s="83"/>
      <c r="C146" s="84" t="s">
        <v>99</v>
      </c>
      <c r="D146" s="84" t="s">
        <v>90</v>
      </c>
      <c r="E146" s="85" t="s">
        <v>100</v>
      </c>
      <c r="F146" s="86" t="s">
        <v>101</v>
      </c>
      <c r="G146" s="87" t="s">
        <v>92</v>
      </c>
      <c r="H146" s="88">
        <f>H145+H144</f>
        <v>66.855999999999995</v>
      </c>
      <c r="I146" s="89"/>
      <c r="J146" s="89">
        <f t="shared" si="0"/>
        <v>0</v>
      </c>
      <c r="K146" s="90"/>
      <c r="L146" s="15"/>
      <c r="M146" s="91" t="s">
        <v>0</v>
      </c>
      <c r="N146" s="92" t="s">
        <v>23</v>
      </c>
      <c r="O146" s="93">
        <v>2.2499999999999999E-2</v>
      </c>
      <c r="P146" s="93">
        <f t="shared" si="1"/>
        <v>1.5042599999999999</v>
      </c>
      <c r="Q146" s="93">
        <v>0</v>
      </c>
      <c r="R146" s="93">
        <f t="shared" si="2"/>
        <v>0</v>
      </c>
      <c r="S146" s="93">
        <v>0</v>
      </c>
      <c r="T146" s="94">
        <f t="shared" si="3"/>
        <v>0</v>
      </c>
      <c r="V146" s="120" t="s">
        <v>948</v>
      </c>
      <c r="AR146" s="95" t="s">
        <v>93</v>
      </c>
      <c r="AT146" s="95" t="s">
        <v>90</v>
      </c>
      <c r="AU146" s="95" t="s">
        <v>94</v>
      </c>
      <c r="AY146" s="7" t="s">
        <v>88</v>
      </c>
      <c r="BE146" s="96">
        <f t="shared" si="4"/>
        <v>0</v>
      </c>
      <c r="BF146" s="96">
        <f t="shared" si="5"/>
        <v>0</v>
      </c>
      <c r="BG146" s="96">
        <f t="shared" si="6"/>
        <v>0</v>
      </c>
      <c r="BH146" s="96">
        <f t="shared" si="7"/>
        <v>0</v>
      </c>
      <c r="BI146" s="96">
        <f t="shared" si="8"/>
        <v>0</v>
      </c>
      <c r="BJ146" s="7" t="s">
        <v>94</v>
      </c>
      <c r="BK146" s="96">
        <f t="shared" si="9"/>
        <v>0</v>
      </c>
      <c r="BL146" s="7" t="s">
        <v>93</v>
      </c>
      <c r="BM146" s="95" t="s">
        <v>102</v>
      </c>
    </row>
    <row r="147" spans="2:65" s="1" customFormat="1" ht="37.9" customHeight="1">
      <c r="B147" s="83"/>
      <c r="C147" s="84" t="s">
        <v>93</v>
      </c>
      <c r="D147" s="84" t="s">
        <v>90</v>
      </c>
      <c r="E147" s="85" t="s">
        <v>103</v>
      </c>
      <c r="F147" s="86" t="s">
        <v>104</v>
      </c>
      <c r="G147" s="87" t="s">
        <v>92</v>
      </c>
      <c r="H147" s="88">
        <f>H146</f>
        <v>66.855999999999995</v>
      </c>
      <c r="I147" s="89"/>
      <c r="J147" s="89">
        <f t="shared" si="0"/>
        <v>0</v>
      </c>
      <c r="K147" s="90"/>
      <c r="L147" s="15"/>
      <c r="M147" s="91" t="s">
        <v>0</v>
      </c>
      <c r="N147" s="92" t="s">
        <v>23</v>
      </c>
      <c r="O147" s="93">
        <v>5.3899999999999998E-3</v>
      </c>
      <c r="P147" s="93">
        <f t="shared" si="1"/>
        <v>0.36035383999999998</v>
      </c>
      <c r="Q147" s="93">
        <v>0</v>
      </c>
      <c r="R147" s="93">
        <f t="shared" si="2"/>
        <v>0</v>
      </c>
      <c r="S147" s="93">
        <v>0</v>
      </c>
      <c r="T147" s="94">
        <f t="shared" si="3"/>
        <v>0</v>
      </c>
      <c r="V147" s="120" t="s">
        <v>948</v>
      </c>
      <c r="AR147" s="95" t="s">
        <v>93</v>
      </c>
      <c r="AT147" s="95" t="s">
        <v>90</v>
      </c>
      <c r="AU147" s="95" t="s">
        <v>94</v>
      </c>
      <c r="AY147" s="7" t="s">
        <v>88</v>
      </c>
      <c r="BE147" s="96">
        <f t="shared" si="4"/>
        <v>0</v>
      </c>
      <c r="BF147" s="96">
        <f t="shared" si="5"/>
        <v>0</v>
      </c>
      <c r="BG147" s="96">
        <f t="shared" si="6"/>
        <v>0</v>
      </c>
      <c r="BH147" s="96">
        <f t="shared" si="7"/>
        <v>0</v>
      </c>
      <c r="BI147" s="96">
        <f t="shared" si="8"/>
        <v>0</v>
      </c>
      <c r="BJ147" s="7" t="s">
        <v>94</v>
      </c>
      <c r="BK147" s="96">
        <f t="shared" si="9"/>
        <v>0</v>
      </c>
      <c r="BL147" s="7" t="s">
        <v>93</v>
      </c>
      <c r="BM147" s="95" t="s">
        <v>105</v>
      </c>
    </row>
    <row r="148" spans="2:65" s="1" customFormat="1" ht="16.5" customHeight="1">
      <c r="B148" s="83"/>
      <c r="C148" s="84" t="s">
        <v>106</v>
      </c>
      <c r="D148" s="84" t="s">
        <v>90</v>
      </c>
      <c r="E148" s="85" t="s">
        <v>107</v>
      </c>
      <c r="F148" s="86" t="s">
        <v>108</v>
      </c>
      <c r="G148" s="87" t="s">
        <v>92</v>
      </c>
      <c r="H148" s="88">
        <f>H147</f>
        <v>66.855999999999995</v>
      </c>
      <c r="I148" s="89"/>
      <c r="J148" s="89">
        <f t="shared" si="0"/>
        <v>0</v>
      </c>
      <c r="K148" s="90"/>
      <c r="L148" s="15"/>
      <c r="M148" s="91" t="s">
        <v>0</v>
      </c>
      <c r="N148" s="92" t="s">
        <v>23</v>
      </c>
      <c r="O148" s="93">
        <v>0.83199999999999996</v>
      </c>
      <c r="P148" s="93">
        <f t="shared" si="1"/>
        <v>55.624191999999994</v>
      </c>
      <c r="Q148" s="93">
        <v>0</v>
      </c>
      <c r="R148" s="93">
        <f t="shared" si="2"/>
        <v>0</v>
      </c>
      <c r="S148" s="93">
        <v>0</v>
      </c>
      <c r="T148" s="94">
        <f t="shared" si="3"/>
        <v>0</v>
      </c>
      <c r="V148" s="120" t="s">
        <v>948</v>
      </c>
      <c r="AR148" s="95" t="s">
        <v>93</v>
      </c>
      <c r="AT148" s="95" t="s">
        <v>90</v>
      </c>
      <c r="AU148" s="95" t="s">
        <v>94</v>
      </c>
      <c r="AY148" s="7" t="s">
        <v>88</v>
      </c>
      <c r="BE148" s="96">
        <f t="shared" si="4"/>
        <v>0</v>
      </c>
      <c r="BF148" s="96">
        <f t="shared" si="5"/>
        <v>0</v>
      </c>
      <c r="BG148" s="96">
        <f t="shared" si="6"/>
        <v>0</v>
      </c>
      <c r="BH148" s="96">
        <f t="shared" si="7"/>
        <v>0</v>
      </c>
      <c r="BI148" s="96">
        <f t="shared" si="8"/>
        <v>0</v>
      </c>
      <c r="BJ148" s="7" t="s">
        <v>94</v>
      </c>
      <c r="BK148" s="96">
        <f t="shared" si="9"/>
        <v>0</v>
      </c>
      <c r="BL148" s="7" t="s">
        <v>93</v>
      </c>
      <c r="BM148" s="95" t="s">
        <v>109</v>
      </c>
    </row>
    <row r="149" spans="2:65" s="1" customFormat="1" ht="24.2" customHeight="1">
      <c r="B149" s="83"/>
      <c r="C149" s="84" t="s">
        <v>110</v>
      </c>
      <c r="D149" s="84" t="s">
        <v>90</v>
      </c>
      <c r="E149" s="85" t="s">
        <v>111</v>
      </c>
      <c r="F149" s="86" t="s">
        <v>112</v>
      </c>
      <c r="G149" s="87" t="s">
        <v>92</v>
      </c>
      <c r="H149" s="88">
        <f>H146</f>
        <v>66.855999999999995</v>
      </c>
      <c r="I149" s="89"/>
      <c r="J149" s="89">
        <f t="shared" si="0"/>
        <v>0</v>
      </c>
      <c r="K149" s="90"/>
      <c r="L149" s="15"/>
      <c r="M149" s="91" t="s">
        <v>0</v>
      </c>
      <c r="N149" s="92" t="s">
        <v>23</v>
      </c>
      <c r="O149" s="93">
        <v>8.6999999999999994E-2</v>
      </c>
      <c r="P149" s="93">
        <f t="shared" si="1"/>
        <v>5.8164719999999992</v>
      </c>
      <c r="Q149" s="93">
        <v>0</v>
      </c>
      <c r="R149" s="93">
        <f t="shared" si="2"/>
        <v>0</v>
      </c>
      <c r="S149" s="93">
        <v>0</v>
      </c>
      <c r="T149" s="94">
        <f t="shared" si="3"/>
        <v>0</v>
      </c>
      <c r="V149" s="120" t="s">
        <v>948</v>
      </c>
      <c r="AR149" s="95" t="s">
        <v>93</v>
      </c>
      <c r="AT149" s="95" t="s">
        <v>90</v>
      </c>
      <c r="AU149" s="95" t="s">
        <v>94</v>
      </c>
      <c r="AY149" s="7" t="s">
        <v>88</v>
      </c>
      <c r="BE149" s="96">
        <f t="shared" si="4"/>
        <v>0</v>
      </c>
      <c r="BF149" s="96">
        <f t="shared" si="5"/>
        <v>0</v>
      </c>
      <c r="BG149" s="96">
        <f t="shared" si="6"/>
        <v>0</v>
      </c>
      <c r="BH149" s="96">
        <f t="shared" si="7"/>
        <v>0</v>
      </c>
      <c r="BI149" s="96">
        <f t="shared" si="8"/>
        <v>0</v>
      </c>
      <c r="BJ149" s="7" t="s">
        <v>94</v>
      </c>
      <c r="BK149" s="96">
        <f t="shared" si="9"/>
        <v>0</v>
      </c>
      <c r="BL149" s="7" t="s">
        <v>93</v>
      </c>
      <c r="BM149" s="95" t="s">
        <v>113</v>
      </c>
    </row>
    <row r="150" spans="2:65" s="1" customFormat="1" ht="21.75" customHeight="1">
      <c r="B150" s="83"/>
      <c r="C150" s="84" t="s">
        <v>114</v>
      </c>
      <c r="D150" s="84" t="s">
        <v>90</v>
      </c>
      <c r="E150" s="85" t="s">
        <v>115</v>
      </c>
      <c r="F150" s="86" t="s">
        <v>116</v>
      </c>
      <c r="G150" s="87" t="s">
        <v>92</v>
      </c>
      <c r="H150" s="88">
        <f>H146</f>
        <v>66.855999999999995</v>
      </c>
      <c r="I150" s="89"/>
      <c r="J150" s="89">
        <f t="shared" si="0"/>
        <v>0</v>
      </c>
      <c r="K150" s="90"/>
      <c r="L150" s="15"/>
      <c r="M150" s="91" t="s">
        <v>0</v>
      </c>
      <c r="N150" s="92" t="s">
        <v>23</v>
      </c>
      <c r="O150" s="93">
        <v>8.0000000000000002E-3</v>
      </c>
      <c r="P150" s="93">
        <f t="shared" si="1"/>
        <v>0.53484799999999999</v>
      </c>
      <c r="Q150" s="93">
        <v>0</v>
      </c>
      <c r="R150" s="93">
        <f t="shared" si="2"/>
        <v>0</v>
      </c>
      <c r="S150" s="93">
        <v>0</v>
      </c>
      <c r="T150" s="94">
        <f t="shared" si="3"/>
        <v>0</v>
      </c>
      <c r="V150" s="120" t="s">
        <v>948</v>
      </c>
      <c r="AR150" s="95" t="s">
        <v>93</v>
      </c>
      <c r="AT150" s="95" t="s">
        <v>90</v>
      </c>
      <c r="AU150" s="95" t="s">
        <v>94</v>
      </c>
      <c r="AY150" s="7" t="s">
        <v>88</v>
      </c>
      <c r="BE150" s="96">
        <f t="shared" si="4"/>
        <v>0</v>
      </c>
      <c r="BF150" s="96">
        <f t="shared" si="5"/>
        <v>0</v>
      </c>
      <c r="BG150" s="96">
        <f t="shared" si="6"/>
        <v>0</v>
      </c>
      <c r="BH150" s="96">
        <f t="shared" si="7"/>
        <v>0</v>
      </c>
      <c r="BI150" s="96">
        <f t="shared" si="8"/>
        <v>0</v>
      </c>
      <c r="BJ150" s="7" t="s">
        <v>94</v>
      </c>
      <c r="BK150" s="96">
        <f t="shared" si="9"/>
        <v>0</v>
      </c>
      <c r="BL150" s="7" t="s">
        <v>93</v>
      </c>
      <c r="BM150" s="95" t="s">
        <v>117</v>
      </c>
    </row>
    <row r="151" spans="2:65" s="1" customFormat="1" ht="24.2" customHeight="1">
      <c r="B151" s="83"/>
      <c r="C151" s="84" t="s">
        <v>118</v>
      </c>
      <c r="D151" s="84" t="s">
        <v>90</v>
      </c>
      <c r="E151" s="85" t="s">
        <v>119</v>
      </c>
      <c r="F151" s="86" t="s">
        <v>120</v>
      </c>
      <c r="G151" s="87" t="s">
        <v>121</v>
      </c>
      <c r="H151" s="88">
        <f>H146</f>
        <v>66.855999999999995</v>
      </c>
      <c r="I151" s="89"/>
      <c r="J151" s="89">
        <f t="shared" si="0"/>
        <v>0</v>
      </c>
      <c r="K151" s="90"/>
      <c r="L151" s="15"/>
      <c r="M151" s="91" t="s">
        <v>0</v>
      </c>
      <c r="N151" s="92" t="s">
        <v>23</v>
      </c>
      <c r="O151" s="93">
        <v>0</v>
      </c>
      <c r="P151" s="93">
        <f t="shared" si="1"/>
        <v>0</v>
      </c>
      <c r="Q151" s="93">
        <v>0</v>
      </c>
      <c r="R151" s="93">
        <f t="shared" si="2"/>
        <v>0</v>
      </c>
      <c r="S151" s="93">
        <v>0</v>
      </c>
      <c r="T151" s="94">
        <f t="shared" si="3"/>
        <v>0</v>
      </c>
      <c r="V151" s="120" t="s">
        <v>948</v>
      </c>
      <c r="AR151" s="95" t="s">
        <v>93</v>
      </c>
      <c r="AT151" s="95" t="s">
        <v>90</v>
      </c>
      <c r="AU151" s="95" t="s">
        <v>94</v>
      </c>
      <c r="AY151" s="7" t="s">
        <v>88</v>
      </c>
      <c r="BE151" s="96">
        <f t="shared" si="4"/>
        <v>0</v>
      </c>
      <c r="BF151" s="96">
        <f t="shared" si="5"/>
        <v>0</v>
      </c>
      <c r="BG151" s="96">
        <f t="shared" si="6"/>
        <v>0</v>
      </c>
      <c r="BH151" s="96">
        <f t="shared" si="7"/>
        <v>0</v>
      </c>
      <c r="BI151" s="96">
        <f t="shared" si="8"/>
        <v>0</v>
      </c>
      <c r="BJ151" s="7" t="s">
        <v>94</v>
      </c>
      <c r="BK151" s="96">
        <f t="shared" si="9"/>
        <v>0</v>
      </c>
      <c r="BL151" s="7" t="s">
        <v>93</v>
      </c>
      <c r="BM151" s="95" t="s">
        <v>122</v>
      </c>
    </row>
    <row r="152" spans="2:65" s="1" customFormat="1" ht="33" customHeight="1">
      <c r="B152" s="83"/>
      <c r="C152" s="84" t="s">
        <v>123</v>
      </c>
      <c r="D152" s="84" t="s">
        <v>90</v>
      </c>
      <c r="E152" s="85" t="s">
        <v>124</v>
      </c>
      <c r="F152" s="86" t="s">
        <v>125</v>
      </c>
      <c r="G152" s="87" t="s">
        <v>92</v>
      </c>
      <c r="H152" s="88">
        <f>H144*0.6</f>
        <v>38.577599999999997</v>
      </c>
      <c r="I152" s="89"/>
      <c r="J152" s="89">
        <f t="shared" si="0"/>
        <v>0</v>
      </c>
      <c r="K152" s="90"/>
      <c r="L152" s="15"/>
      <c r="M152" s="91" t="s">
        <v>0</v>
      </c>
      <c r="N152" s="92" t="s">
        <v>23</v>
      </c>
      <c r="O152" s="93">
        <v>0.22900000000000001</v>
      </c>
      <c r="P152" s="93">
        <f t="shared" si="1"/>
        <v>8.8342703999999994</v>
      </c>
      <c r="Q152" s="93">
        <v>0</v>
      </c>
      <c r="R152" s="93">
        <f t="shared" si="2"/>
        <v>0</v>
      </c>
      <c r="S152" s="93">
        <v>0</v>
      </c>
      <c r="T152" s="94">
        <f t="shared" si="3"/>
        <v>0</v>
      </c>
      <c r="V152" s="120" t="s">
        <v>948</v>
      </c>
      <c r="AR152" s="95" t="s">
        <v>93</v>
      </c>
      <c r="AT152" s="95" t="s">
        <v>90</v>
      </c>
      <c r="AU152" s="95" t="s">
        <v>94</v>
      </c>
      <c r="AY152" s="7" t="s">
        <v>88</v>
      </c>
      <c r="BE152" s="96">
        <f t="shared" si="4"/>
        <v>0</v>
      </c>
      <c r="BF152" s="96">
        <f t="shared" si="5"/>
        <v>0</v>
      </c>
      <c r="BG152" s="96">
        <f t="shared" si="6"/>
        <v>0</v>
      </c>
      <c r="BH152" s="96">
        <f t="shared" si="7"/>
        <v>0</v>
      </c>
      <c r="BI152" s="96">
        <f t="shared" si="8"/>
        <v>0</v>
      </c>
      <c r="BJ152" s="7" t="s">
        <v>94</v>
      </c>
      <c r="BK152" s="96">
        <f t="shared" si="9"/>
        <v>0</v>
      </c>
      <c r="BL152" s="7" t="s">
        <v>93</v>
      </c>
      <c r="BM152" s="95" t="s">
        <v>126</v>
      </c>
    </row>
    <row r="153" spans="2:65" s="6" customFormat="1" ht="22.9" customHeight="1">
      <c r="B153" s="72"/>
      <c r="D153" s="73" t="s">
        <v>39</v>
      </c>
      <c r="E153" s="81" t="s">
        <v>94</v>
      </c>
      <c r="F153" s="81" t="s">
        <v>127</v>
      </c>
      <c r="J153" s="82">
        <f>SUM(J154:J158)</f>
        <v>0</v>
      </c>
      <c r="L153" s="72"/>
      <c r="M153" s="76"/>
      <c r="P153" s="77">
        <f>SUM(P154:P158)</f>
        <v>61.505836200000005</v>
      </c>
      <c r="R153" s="77">
        <f>SUM(R154:R158)</f>
        <v>71.555777449999994</v>
      </c>
      <c r="T153" s="78">
        <f>SUM(T154:T158)</f>
        <v>0.18</v>
      </c>
      <c r="AR153" s="73" t="s">
        <v>41</v>
      </c>
      <c r="AT153" s="79" t="s">
        <v>39</v>
      </c>
      <c r="AU153" s="79" t="s">
        <v>41</v>
      </c>
      <c r="AY153" s="73" t="s">
        <v>88</v>
      </c>
      <c r="BK153" s="80">
        <f>SUM(BK154:BK158)</f>
        <v>0</v>
      </c>
    </row>
    <row r="154" spans="2:65" s="1" customFormat="1" ht="24.2" customHeight="1">
      <c r="B154" s="83"/>
      <c r="C154" s="84" t="s">
        <v>128</v>
      </c>
      <c r="D154" s="84" t="s">
        <v>90</v>
      </c>
      <c r="E154" s="85" t="s">
        <v>129</v>
      </c>
      <c r="F154" s="86" t="s">
        <v>130</v>
      </c>
      <c r="G154" s="87" t="s">
        <v>92</v>
      </c>
      <c r="H154" s="88">
        <f>H144-H152</f>
        <v>25.718399999999995</v>
      </c>
      <c r="I154" s="89"/>
      <c r="J154" s="89">
        <f t="shared" ref="J154:J158" si="10">ROUND(I154*H154,2)</f>
        <v>0</v>
      </c>
      <c r="K154" s="90"/>
      <c r="L154" s="15"/>
      <c r="M154" s="91" t="s">
        <v>0</v>
      </c>
      <c r="N154" s="92" t="s">
        <v>23</v>
      </c>
      <c r="O154" s="93">
        <v>0.71799999999999997</v>
      </c>
      <c r="P154" s="93">
        <f t="shared" ref="P154:P158" si="11">O154*H154</f>
        <v>18.465811199999997</v>
      </c>
      <c r="Q154" s="93">
        <v>1.9205000000000001</v>
      </c>
      <c r="R154" s="93">
        <f t="shared" ref="R154:R158" si="12">Q154*H154</f>
        <v>49.392187199999995</v>
      </c>
      <c r="S154" s="93">
        <v>0</v>
      </c>
      <c r="T154" s="94">
        <f t="shared" ref="T154:T158" si="13">S154*H154</f>
        <v>0</v>
      </c>
      <c r="V154" s="120" t="s">
        <v>948</v>
      </c>
      <c r="AR154" s="95" t="s">
        <v>93</v>
      </c>
      <c r="AT154" s="95" t="s">
        <v>90</v>
      </c>
      <c r="AU154" s="95" t="s">
        <v>94</v>
      </c>
      <c r="AY154" s="7" t="s">
        <v>88</v>
      </c>
      <c r="BE154" s="96">
        <f t="shared" ref="BE154:BE158" si="14">IF(N154="základná",J154,0)</f>
        <v>0</v>
      </c>
      <c r="BF154" s="96">
        <f t="shared" ref="BF154:BF158" si="15">IF(N154="znížená",J154,0)</f>
        <v>0</v>
      </c>
      <c r="BG154" s="96">
        <f t="shared" ref="BG154:BG158" si="16">IF(N154="zákl. prenesená",J154,0)</f>
        <v>0</v>
      </c>
      <c r="BH154" s="96">
        <f t="shared" ref="BH154:BH158" si="17">IF(N154="zníž. prenesená",J154,0)</f>
        <v>0</v>
      </c>
      <c r="BI154" s="96">
        <f t="shared" ref="BI154:BI158" si="18">IF(N154="nulová",J154,0)</f>
        <v>0</v>
      </c>
      <c r="BJ154" s="7" t="s">
        <v>94</v>
      </c>
      <c r="BK154" s="96">
        <f t="shared" ref="BK154:BK158" si="19">ROUND(I154*H154,2)</f>
        <v>0</v>
      </c>
      <c r="BL154" s="7" t="s">
        <v>93</v>
      </c>
      <c r="BM154" s="95" t="s">
        <v>131</v>
      </c>
    </row>
    <row r="155" spans="2:65" s="1" customFormat="1" ht="33" customHeight="1">
      <c r="B155" s="83"/>
      <c r="C155" s="84" t="s">
        <v>132</v>
      </c>
      <c r="D155" s="84" t="s">
        <v>90</v>
      </c>
      <c r="E155" s="85" t="s">
        <v>133</v>
      </c>
      <c r="F155" s="86" t="s">
        <v>134</v>
      </c>
      <c r="G155" s="87" t="s">
        <v>135</v>
      </c>
      <c r="H155" s="88">
        <f>H157*2</f>
        <v>178.6</v>
      </c>
      <c r="I155" s="89"/>
      <c r="J155" s="89">
        <f t="shared" si="10"/>
        <v>0</v>
      </c>
      <c r="K155" s="90"/>
      <c r="L155" s="15"/>
      <c r="M155" s="91" t="s">
        <v>0</v>
      </c>
      <c r="N155" s="92" t="s">
        <v>23</v>
      </c>
      <c r="O155" s="93">
        <v>8.5000000000000006E-2</v>
      </c>
      <c r="P155" s="93">
        <f t="shared" si="11"/>
        <v>15.181000000000001</v>
      </c>
      <c r="Q155" s="93">
        <v>3.5074999999999999E-4</v>
      </c>
      <c r="R155" s="93">
        <f t="shared" si="12"/>
        <v>6.264394999999999E-2</v>
      </c>
      <c r="S155" s="93">
        <v>0</v>
      </c>
      <c r="T155" s="94">
        <f t="shared" si="13"/>
        <v>0</v>
      </c>
      <c r="V155" s="120" t="s">
        <v>948</v>
      </c>
      <c r="AR155" s="95" t="s">
        <v>93</v>
      </c>
      <c r="AT155" s="95" t="s">
        <v>90</v>
      </c>
      <c r="AU155" s="95" t="s">
        <v>94</v>
      </c>
      <c r="AY155" s="7" t="s">
        <v>88</v>
      </c>
      <c r="BE155" s="96">
        <f t="shared" si="14"/>
        <v>0</v>
      </c>
      <c r="BF155" s="96">
        <f t="shared" si="15"/>
        <v>0</v>
      </c>
      <c r="BG155" s="96">
        <f t="shared" si="16"/>
        <v>0</v>
      </c>
      <c r="BH155" s="96">
        <f t="shared" si="17"/>
        <v>0</v>
      </c>
      <c r="BI155" s="96">
        <f t="shared" si="18"/>
        <v>0</v>
      </c>
      <c r="BJ155" s="7" t="s">
        <v>94</v>
      </c>
      <c r="BK155" s="96">
        <f t="shared" si="19"/>
        <v>0</v>
      </c>
      <c r="BL155" s="7" t="s">
        <v>93</v>
      </c>
      <c r="BM155" s="95" t="s">
        <v>136</v>
      </c>
    </row>
    <row r="156" spans="2:65" s="1" customFormat="1" ht="16.5" customHeight="1">
      <c r="B156" s="83"/>
      <c r="C156" s="97" t="s">
        <v>137</v>
      </c>
      <c r="D156" s="97" t="s">
        <v>138</v>
      </c>
      <c r="E156" s="98" t="s">
        <v>139</v>
      </c>
      <c r="F156" s="99" t="s">
        <v>140</v>
      </c>
      <c r="G156" s="100" t="s">
        <v>135</v>
      </c>
      <c r="H156" s="101">
        <f>H155*1.1</f>
        <v>196.46</v>
      </c>
      <c r="I156" s="102"/>
      <c r="J156" s="102">
        <f t="shared" si="10"/>
        <v>0</v>
      </c>
      <c r="K156" s="103"/>
      <c r="L156" s="15"/>
      <c r="M156" s="105" t="s">
        <v>0</v>
      </c>
      <c r="N156" s="106" t="s">
        <v>23</v>
      </c>
      <c r="O156" s="93">
        <v>0</v>
      </c>
      <c r="P156" s="93">
        <f t="shared" si="11"/>
        <v>0</v>
      </c>
      <c r="Q156" s="93">
        <v>2.9999999999999997E-4</v>
      </c>
      <c r="R156" s="93">
        <f t="shared" si="12"/>
        <v>5.8937999999999997E-2</v>
      </c>
      <c r="S156" s="93">
        <v>0</v>
      </c>
      <c r="T156" s="94">
        <f t="shared" si="13"/>
        <v>0</v>
      </c>
      <c r="V156" s="120" t="s">
        <v>948</v>
      </c>
      <c r="AR156" s="95" t="s">
        <v>118</v>
      </c>
      <c r="AT156" s="95" t="s">
        <v>138</v>
      </c>
      <c r="AU156" s="95" t="s">
        <v>94</v>
      </c>
      <c r="AY156" s="7" t="s">
        <v>88</v>
      </c>
      <c r="BE156" s="96">
        <f t="shared" si="14"/>
        <v>0</v>
      </c>
      <c r="BF156" s="96">
        <f t="shared" si="15"/>
        <v>0</v>
      </c>
      <c r="BG156" s="96">
        <f t="shared" si="16"/>
        <v>0</v>
      </c>
      <c r="BH156" s="96">
        <f t="shared" si="17"/>
        <v>0</v>
      </c>
      <c r="BI156" s="96">
        <f t="shared" si="18"/>
        <v>0</v>
      </c>
      <c r="BJ156" s="7" t="s">
        <v>94</v>
      </c>
      <c r="BK156" s="96">
        <f t="shared" si="19"/>
        <v>0</v>
      </c>
      <c r="BL156" s="7" t="s">
        <v>93</v>
      </c>
      <c r="BM156" s="95" t="s">
        <v>141</v>
      </c>
    </row>
    <row r="157" spans="2:65" s="1" customFormat="1" ht="16.5" customHeight="1">
      <c r="B157" s="83"/>
      <c r="C157" s="84" t="s">
        <v>142</v>
      </c>
      <c r="D157" s="84" t="s">
        <v>90</v>
      </c>
      <c r="E157" s="85" t="s">
        <v>143</v>
      </c>
      <c r="F157" s="86" t="s">
        <v>144</v>
      </c>
      <c r="G157" s="87" t="s">
        <v>145</v>
      </c>
      <c r="H157" s="88">
        <v>89.3</v>
      </c>
      <c r="I157" s="89"/>
      <c r="J157" s="89">
        <f t="shared" si="10"/>
        <v>0</v>
      </c>
      <c r="K157" s="90"/>
      <c r="L157" s="15"/>
      <c r="M157" s="91" t="s">
        <v>0</v>
      </c>
      <c r="N157" s="92" t="s">
        <v>23</v>
      </c>
      <c r="O157" s="93">
        <v>0.21925</v>
      </c>
      <c r="P157" s="93">
        <f t="shared" si="11"/>
        <v>19.579024999999998</v>
      </c>
      <c r="Q157" s="93">
        <v>0.24683099999999999</v>
      </c>
      <c r="R157" s="93">
        <f t="shared" si="12"/>
        <v>22.042008299999999</v>
      </c>
      <c r="S157" s="93">
        <v>0</v>
      </c>
      <c r="T157" s="94">
        <f t="shared" si="13"/>
        <v>0</v>
      </c>
      <c r="V157" s="120" t="s">
        <v>948</v>
      </c>
      <c r="AR157" s="95" t="s">
        <v>93</v>
      </c>
      <c r="AT157" s="95" t="s">
        <v>90</v>
      </c>
      <c r="AU157" s="95" t="s">
        <v>94</v>
      </c>
      <c r="AY157" s="7" t="s">
        <v>88</v>
      </c>
      <c r="BE157" s="96">
        <f t="shared" si="14"/>
        <v>0</v>
      </c>
      <c r="BF157" s="96">
        <f t="shared" si="15"/>
        <v>0</v>
      </c>
      <c r="BG157" s="96">
        <f t="shared" si="16"/>
        <v>0</v>
      </c>
      <c r="BH157" s="96">
        <f t="shared" si="17"/>
        <v>0</v>
      </c>
      <c r="BI157" s="96">
        <f t="shared" si="18"/>
        <v>0</v>
      </c>
      <c r="BJ157" s="7" t="s">
        <v>94</v>
      </c>
      <c r="BK157" s="96">
        <f t="shared" si="19"/>
        <v>0</v>
      </c>
      <c r="BL157" s="7" t="s">
        <v>93</v>
      </c>
      <c r="BM157" s="95" t="s">
        <v>146</v>
      </c>
    </row>
    <row r="158" spans="2:65" s="1" customFormat="1" ht="24.2" customHeight="1">
      <c r="B158" s="83"/>
      <c r="C158" s="84">
        <v>14</v>
      </c>
      <c r="D158" s="84" t="s">
        <v>90</v>
      </c>
      <c r="E158" s="85" t="s">
        <v>148</v>
      </c>
      <c r="F158" s="86" t="s">
        <v>149</v>
      </c>
      <c r="G158" s="87" t="s">
        <v>135</v>
      </c>
      <c r="H158" s="88">
        <v>10</v>
      </c>
      <c r="I158" s="89"/>
      <c r="J158" s="89">
        <f t="shared" si="10"/>
        <v>0</v>
      </c>
      <c r="K158" s="90"/>
      <c r="L158" s="15"/>
      <c r="M158" s="91" t="s">
        <v>0</v>
      </c>
      <c r="N158" s="92" t="s">
        <v>23</v>
      </c>
      <c r="O158" s="93">
        <v>0.82799999999999996</v>
      </c>
      <c r="P158" s="93">
        <f t="shared" si="11"/>
        <v>8.2799999999999994</v>
      </c>
      <c r="Q158" s="93">
        <v>0</v>
      </c>
      <c r="R158" s="93">
        <f t="shared" si="12"/>
        <v>0</v>
      </c>
      <c r="S158" s="93">
        <v>1.7999999999999999E-2</v>
      </c>
      <c r="T158" s="94">
        <f t="shared" si="13"/>
        <v>0.18</v>
      </c>
      <c r="V158" s="120" t="s">
        <v>948</v>
      </c>
      <c r="AR158" s="95" t="s">
        <v>93</v>
      </c>
      <c r="AT158" s="95" t="s">
        <v>90</v>
      </c>
      <c r="AU158" s="95" t="s">
        <v>94</v>
      </c>
      <c r="AY158" s="7" t="s">
        <v>88</v>
      </c>
      <c r="BE158" s="96">
        <f t="shared" si="14"/>
        <v>0</v>
      </c>
      <c r="BF158" s="96">
        <f t="shared" si="15"/>
        <v>0</v>
      </c>
      <c r="BG158" s="96">
        <f t="shared" si="16"/>
        <v>0</v>
      </c>
      <c r="BH158" s="96">
        <f t="shared" si="17"/>
        <v>0</v>
      </c>
      <c r="BI158" s="96">
        <f t="shared" si="18"/>
        <v>0</v>
      </c>
      <c r="BJ158" s="7" t="s">
        <v>94</v>
      </c>
      <c r="BK158" s="96">
        <f t="shared" si="19"/>
        <v>0</v>
      </c>
      <c r="BL158" s="7" t="s">
        <v>93</v>
      </c>
      <c r="BM158" s="95" t="s">
        <v>150</v>
      </c>
    </row>
    <row r="159" spans="2:65" s="6" customFormat="1" ht="22.9" customHeight="1">
      <c r="B159" s="72"/>
      <c r="D159" s="73" t="s">
        <v>39</v>
      </c>
      <c r="E159" s="81" t="s">
        <v>99</v>
      </c>
      <c r="F159" s="81" t="s">
        <v>151</v>
      </c>
      <c r="J159" s="82">
        <f>SUM(J160:J172)</f>
        <v>0</v>
      </c>
      <c r="L159" s="72"/>
      <c r="M159" s="76"/>
      <c r="P159" s="77">
        <f>SUM(P160:P172)</f>
        <v>90.185420300000004</v>
      </c>
      <c r="R159" s="77">
        <f>SUM(R160:R172)</f>
        <v>11.332076877</v>
      </c>
      <c r="T159" s="78">
        <f>SUM(T160:T172)</f>
        <v>0</v>
      </c>
      <c r="AR159" s="73" t="s">
        <v>41</v>
      </c>
      <c r="AT159" s="79" t="s">
        <v>39</v>
      </c>
      <c r="AU159" s="79" t="s">
        <v>41</v>
      </c>
      <c r="AY159" s="73" t="s">
        <v>88</v>
      </c>
      <c r="BK159" s="80">
        <f>SUM(BK160:BK172)</f>
        <v>0</v>
      </c>
    </row>
    <row r="160" spans="2:65" s="1" customFormat="1" ht="33" customHeight="1">
      <c r="B160" s="83"/>
      <c r="C160" s="84">
        <v>15</v>
      </c>
      <c r="D160" s="84" t="s">
        <v>90</v>
      </c>
      <c r="E160" s="85" t="s">
        <v>152</v>
      </c>
      <c r="F160" s="86" t="s">
        <v>153</v>
      </c>
      <c r="G160" s="87" t="s">
        <v>145</v>
      </c>
      <c r="H160" s="88">
        <v>15</v>
      </c>
      <c r="I160" s="89"/>
      <c r="J160" s="89">
        <f t="shared" ref="J160:J172" si="20">ROUND(I160*H160,2)</f>
        <v>0</v>
      </c>
      <c r="K160" s="90"/>
      <c r="L160" s="15"/>
      <c r="M160" s="91" t="s">
        <v>0</v>
      </c>
      <c r="N160" s="92" t="s">
        <v>23</v>
      </c>
      <c r="O160" s="93">
        <v>1.081545</v>
      </c>
      <c r="P160" s="93">
        <f t="shared" ref="P160:P172" si="21">O160*H160</f>
        <v>16.223175000000001</v>
      </c>
      <c r="Q160" s="93">
        <v>7.5519999999999997E-3</v>
      </c>
      <c r="R160" s="93">
        <f t="shared" ref="R160:R172" si="22">Q160*H160</f>
        <v>0.11327999999999999</v>
      </c>
      <c r="S160" s="93">
        <v>0</v>
      </c>
      <c r="T160" s="94">
        <f t="shared" ref="T160:T172" si="23">S160*H160</f>
        <v>0</v>
      </c>
      <c r="V160" s="120" t="s">
        <v>948</v>
      </c>
      <c r="AR160" s="95" t="s">
        <v>93</v>
      </c>
      <c r="AT160" s="95" t="s">
        <v>90</v>
      </c>
      <c r="AU160" s="95" t="s">
        <v>94</v>
      </c>
      <c r="AY160" s="7" t="s">
        <v>88</v>
      </c>
      <c r="BE160" s="96">
        <f t="shared" ref="BE160:BE172" si="24">IF(N160="základná",J160,0)</f>
        <v>0</v>
      </c>
      <c r="BF160" s="96">
        <f t="shared" ref="BF160:BF172" si="25">IF(N160="znížená",J160,0)</f>
        <v>0</v>
      </c>
      <c r="BG160" s="96">
        <f t="shared" ref="BG160:BG172" si="26">IF(N160="zákl. prenesená",J160,0)</f>
        <v>0</v>
      </c>
      <c r="BH160" s="96">
        <f t="shared" ref="BH160:BH172" si="27">IF(N160="zníž. prenesená",J160,0)</f>
        <v>0</v>
      </c>
      <c r="BI160" s="96">
        <f t="shared" ref="BI160:BI172" si="28">IF(N160="nulová",J160,0)</f>
        <v>0</v>
      </c>
      <c r="BJ160" s="7" t="s">
        <v>94</v>
      </c>
      <c r="BK160" s="96">
        <f t="shared" ref="BK160:BK172" si="29">ROUND(I160*H160,2)</f>
        <v>0</v>
      </c>
      <c r="BL160" s="7" t="s">
        <v>93</v>
      </c>
      <c r="BM160" s="95" t="s">
        <v>154</v>
      </c>
    </row>
    <row r="161" spans="2:65" s="1" customFormat="1" ht="33" customHeight="1">
      <c r="B161" s="83"/>
      <c r="C161" s="84">
        <v>16</v>
      </c>
      <c r="D161" s="84" t="s">
        <v>90</v>
      </c>
      <c r="E161" s="85" t="s">
        <v>155</v>
      </c>
      <c r="F161" s="86" t="s">
        <v>156</v>
      </c>
      <c r="G161" s="87" t="s">
        <v>145</v>
      </c>
      <c r="H161" s="88">
        <v>10</v>
      </c>
      <c r="I161" s="89"/>
      <c r="J161" s="89">
        <f t="shared" si="20"/>
        <v>0</v>
      </c>
      <c r="K161" s="90"/>
      <c r="L161" s="15"/>
      <c r="M161" s="91" t="s">
        <v>0</v>
      </c>
      <c r="N161" s="92" t="s">
        <v>23</v>
      </c>
      <c r="O161" s="93">
        <v>1.28081</v>
      </c>
      <c r="P161" s="93">
        <f t="shared" si="21"/>
        <v>12.8081</v>
      </c>
      <c r="Q161" s="93">
        <v>9.0624E-3</v>
      </c>
      <c r="R161" s="93">
        <f t="shared" si="22"/>
        <v>9.0623999999999996E-2</v>
      </c>
      <c r="S161" s="93">
        <v>0</v>
      </c>
      <c r="T161" s="94">
        <f t="shared" si="23"/>
        <v>0</v>
      </c>
      <c r="V161" s="120" t="s">
        <v>948</v>
      </c>
      <c r="AR161" s="95" t="s">
        <v>93</v>
      </c>
      <c r="AT161" s="95" t="s">
        <v>90</v>
      </c>
      <c r="AU161" s="95" t="s">
        <v>94</v>
      </c>
      <c r="AY161" s="7" t="s">
        <v>88</v>
      </c>
      <c r="BE161" s="96">
        <f t="shared" si="24"/>
        <v>0</v>
      </c>
      <c r="BF161" s="96">
        <f t="shared" si="25"/>
        <v>0</v>
      </c>
      <c r="BG161" s="96">
        <f t="shared" si="26"/>
        <v>0</v>
      </c>
      <c r="BH161" s="96">
        <f t="shared" si="27"/>
        <v>0</v>
      </c>
      <c r="BI161" s="96">
        <f t="shared" si="28"/>
        <v>0</v>
      </c>
      <c r="BJ161" s="7" t="s">
        <v>94</v>
      </c>
      <c r="BK161" s="96">
        <f t="shared" si="29"/>
        <v>0</v>
      </c>
      <c r="BL161" s="7" t="s">
        <v>93</v>
      </c>
      <c r="BM161" s="95" t="s">
        <v>157</v>
      </c>
    </row>
    <row r="162" spans="2:65" s="1" customFormat="1" ht="24.2" customHeight="1">
      <c r="B162" s="83"/>
      <c r="C162" s="84">
        <v>17</v>
      </c>
      <c r="D162" s="84" t="s">
        <v>90</v>
      </c>
      <c r="E162" s="85" t="s">
        <v>159</v>
      </c>
      <c r="F162" s="86" t="s">
        <v>1002</v>
      </c>
      <c r="G162" s="87" t="s">
        <v>160</v>
      </c>
      <c r="H162" s="88">
        <v>12</v>
      </c>
      <c r="I162" s="89"/>
      <c r="J162" s="89">
        <f t="shared" si="20"/>
        <v>0</v>
      </c>
      <c r="K162" s="90"/>
      <c r="L162" s="15"/>
      <c r="M162" s="91" t="s">
        <v>0</v>
      </c>
      <c r="N162" s="92" t="s">
        <v>23</v>
      </c>
      <c r="O162" s="93">
        <v>0.17466000000000001</v>
      </c>
      <c r="P162" s="93">
        <f t="shared" si="21"/>
        <v>2.09592</v>
      </c>
      <c r="Q162" s="93">
        <v>2.0049999999999998E-2</v>
      </c>
      <c r="R162" s="93">
        <f t="shared" si="22"/>
        <v>0.24059999999999998</v>
      </c>
      <c r="S162" s="93">
        <v>0</v>
      </c>
      <c r="T162" s="94">
        <f t="shared" si="23"/>
        <v>0</v>
      </c>
      <c r="V162" s="127" t="s">
        <v>956</v>
      </c>
      <c r="AR162" s="95" t="s">
        <v>93</v>
      </c>
      <c r="AT162" s="95" t="s">
        <v>90</v>
      </c>
      <c r="AU162" s="95" t="s">
        <v>94</v>
      </c>
      <c r="AY162" s="7" t="s">
        <v>88</v>
      </c>
      <c r="BE162" s="96">
        <f t="shared" si="24"/>
        <v>0</v>
      </c>
      <c r="BF162" s="96">
        <f t="shared" si="25"/>
        <v>0</v>
      </c>
      <c r="BG162" s="96">
        <f t="shared" si="26"/>
        <v>0</v>
      </c>
      <c r="BH162" s="96">
        <f t="shared" si="27"/>
        <v>0</v>
      </c>
      <c r="BI162" s="96">
        <f t="shared" si="28"/>
        <v>0</v>
      </c>
      <c r="BJ162" s="7" t="s">
        <v>94</v>
      </c>
      <c r="BK162" s="96">
        <f t="shared" si="29"/>
        <v>0</v>
      </c>
      <c r="BL162" s="7" t="s">
        <v>93</v>
      </c>
      <c r="BM162" s="95" t="s">
        <v>161</v>
      </c>
    </row>
    <row r="163" spans="2:65" s="1" customFormat="1" ht="24.2" customHeight="1">
      <c r="B163" s="83"/>
      <c r="C163" s="84">
        <v>18</v>
      </c>
      <c r="D163" s="84" t="s">
        <v>90</v>
      </c>
      <c r="E163" s="85" t="s">
        <v>163</v>
      </c>
      <c r="F163" s="86" t="s">
        <v>1001</v>
      </c>
      <c r="G163" s="87" t="s">
        <v>160</v>
      </c>
      <c r="H163" s="88">
        <v>15</v>
      </c>
      <c r="I163" s="89"/>
      <c r="J163" s="89">
        <f t="shared" si="20"/>
        <v>0</v>
      </c>
      <c r="K163" s="90"/>
      <c r="L163" s="15"/>
      <c r="M163" s="91" t="s">
        <v>0</v>
      </c>
      <c r="N163" s="92" t="s">
        <v>23</v>
      </c>
      <c r="O163" s="93">
        <v>0.19420999999999999</v>
      </c>
      <c r="P163" s="93">
        <f t="shared" si="21"/>
        <v>2.9131499999999999</v>
      </c>
      <c r="Q163" s="93">
        <v>2.4209999999999999E-2</v>
      </c>
      <c r="R163" s="93">
        <f t="shared" si="22"/>
        <v>0.36314999999999997</v>
      </c>
      <c r="S163" s="93">
        <v>0</v>
      </c>
      <c r="T163" s="94">
        <f t="shared" si="23"/>
        <v>0</v>
      </c>
      <c r="V163" s="127" t="s">
        <v>956</v>
      </c>
      <c r="AR163" s="95" t="s">
        <v>93</v>
      </c>
      <c r="AT163" s="95" t="s">
        <v>90</v>
      </c>
      <c r="AU163" s="95" t="s">
        <v>94</v>
      </c>
      <c r="AY163" s="7" t="s">
        <v>88</v>
      </c>
      <c r="BE163" s="96">
        <f t="shared" si="24"/>
        <v>0</v>
      </c>
      <c r="BF163" s="96">
        <f t="shared" si="25"/>
        <v>0</v>
      </c>
      <c r="BG163" s="96">
        <f t="shared" si="26"/>
        <v>0</v>
      </c>
      <c r="BH163" s="96">
        <f t="shared" si="27"/>
        <v>0</v>
      </c>
      <c r="BI163" s="96">
        <f t="shared" si="28"/>
        <v>0</v>
      </c>
      <c r="BJ163" s="7" t="s">
        <v>94</v>
      </c>
      <c r="BK163" s="96">
        <f t="shared" si="29"/>
        <v>0</v>
      </c>
      <c r="BL163" s="7" t="s">
        <v>93</v>
      </c>
      <c r="BM163" s="95" t="s">
        <v>164</v>
      </c>
    </row>
    <row r="164" spans="2:65" s="1" customFormat="1" ht="33" customHeight="1">
      <c r="B164" s="83"/>
      <c r="C164" s="84">
        <v>19</v>
      </c>
      <c r="D164" s="84" t="s">
        <v>90</v>
      </c>
      <c r="E164" s="85" t="s">
        <v>165</v>
      </c>
      <c r="F164" s="86" t="s">
        <v>166</v>
      </c>
      <c r="G164" s="87" t="s">
        <v>121</v>
      </c>
      <c r="H164" s="88">
        <v>0.25</v>
      </c>
      <c r="I164" s="89"/>
      <c r="J164" s="89">
        <f t="shared" si="20"/>
        <v>0</v>
      </c>
      <c r="K164" s="90"/>
      <c r="L164" s="15"/>
      <c r="M164" s="91" t="s">
        <v>0</v>
      </c>
      <c r="N164" s="92" t="s">
        <v>23</v>
      </c>
      <c r="O164" s="93">
        <v>13.479520000000001</v>
      </c>
      <c r="P164" s="93">
        <f t="shared" si="21"/>
        <v>3.3698800000000002</v>
      </c>
      <c r="Q164" s="93">
        <v>1.0900000000000001</v>
      </c>
      <c r="R164" s="93">
        <f t="shared" si="22"/>
        <v>0.27250000000000002</v>
      </c>
      <c r="S164" s="93">
        <v>0</v>
      </c>
      <c r="T164" s="94">
        <f t="shared" si="23"/>
        <v>0</v>
      </c>
      <c r="V164" s="121" t="s">
        <v>957</v>
      </c>
      <c r="AR164" s="95" t="s">
        <v>93</v>
      </c>
      <c r="AT164" s="95" t="s">
        <v>90</v>
      </c>
      <c r="AU164" s="95" t="s">
        <v>94</v>
      </c>
      <c r="AY164" s="7" t="s">
        <v>88</v>
      </c>
      <c r="BE164" s="96">
        <f t="shared" si="24"/>
        <v>0</v>
      </c>
      <c r="BF164" s="96">
        <f t="shared" si="25"/>
        <v>0</v>
      </c>
      <c r="BG164" s="96">
        <f t="shared" si="26"/>
        <v>0</v>
      </c>
      <c r="BH164" s="96">
        <f t="shared" si="27"/>
        <v>0</v>
      </c>
      <c r="BI164" s="96">
        <f t="shared" si="28"/>
        <v>0</v>
      </c>
      <c r="BJ164" s="7" t="s">
        <v>94</v>
      </c>
      <c r="BK164" s="96">
        <f t="shared" si="29"/>
        <v>0</v>
      </c>
      <c r="BL164" s="7" t="s">
        <v>93</v>
      </c>
      <c r="BM164" s="95" t="s">
        <v>167</v>
      </c>
    </row>
    <row r="165" spans="2:65" s="1" customFormat="1" ht="33" customHeight="1">
      <c r="B165" s="83"/>
      <c r="C165" s="84">
        <v>20</v>
      </c>
      <c r="D165" s="84" t="s">
        <v>90</v>
      </c>
      <c r="E165" s="85" t="s">
        <v>168</v>
      </c>
      <c r="F165" s="86" t="s">
        <v>169</v>
      </c>
      <c r="G165" s="87" t="s">
        <v>121</v>
      </c>
      <c r="H165" s="88">
        <v>0.15</v>
      </c>
      <c r="I165" s="89"/>
      <c r="J165" s="89">
        <f t="shared" si="20"/>
        <v>0</v>
      </c>
      <c r="K165" s="90"/>
      <c r="L165" s="15"/>
      <c r="M165" s="91" t="s">
        <v>0</v>
      </c>
      <c r="N165" s="92" t="s">
        <v>23</v>
      </c>
      <c r="O165" s="93">
        <v>11.777520000000001</v>
      </c>
      <c r="P165" s="93">
        <f t="shared" si="21"/>
        <v>1.7666280000000001</v>
      </c>
      <c r="Q165" s="93">
        <v>1.0900000000000001</v>
      </c>
      <c r="R165" s="93">
        <f t="shared" si="22"/>
        <v>0.16350000000000001</v>
      </c>
      <c r="S165" s="93">
        <v>0</v>
      </c>
      <c r="T165" s="94">
        <f t="shared" si="23"/>
        <v>0</v>
      </c>
      <c r="V165" s="121" t="s">
        <v>957</v>
      </c>
      <c r="AR165" s="95" t="s">
        <v>93</v>
      </c>
      <c r="AT165" s="95" t="s">
        <v>90</v>
      </c>
      <c r="AU165" s="95" t="s">
        <v>94</v>
      </c>
      <c r="AY165" s="7" t="s">
        <v>88</v>
      </c>
      <c r="BE165" s="96">
        <f t="shared" si="24"/>
        <v>0</v>
      </c>
      <c r="BF165" s="96">
        <f t="shared" si="25"/>
        <v>0</v>
      </c>
      <c r="BG165" s="96">
        <f t="shared" si="26"/>
        <v>0</v>
      </c>
      <c r="BH165" s="96">
        <f t="shared" si="27"/>
        <v>0</v>
      </c>
      <c r="BI165" s="96">
        <f t="shared" si="28"/>
        <v>0</v>
      </c>
      <c r="BJ165" s="7" t="s">
        <v>94</v>
      </c>
      <c r="BK165" s="96">
        <f t="shared" si="29"/>
        <v>0</v>
      </c>
      <c r="BL165" s="7" t="s">
        <v>93</v>
      </c>
      <c r="BM165" s="95" t="s">
        <v>170</v>
      </c>
    </row>
    <row r="166" spans="2:65" s="1" customFormat="1" ht="24.2" customHeight="1">
      <c r="B166" s="83"/>
      <c r="C166" s="84">
        <v>21</v>
      </c>
      <c r="D166" s="84" t="s">
        <v>90</v>
      </c>
      <c r="E166" s="85" t="s">
        <v>171</v>
      </c>
      <c r="F166" s="86" t="s">
        <v>172</v>
      </c>
      <c r="G166" s="87" t="s">
        <v>135</v>
      </c>
      <c r="H166" s="88">
        <v>18.850000000000001</v>
      </c>
      <c r="I166" s="89"/>
      <c r="J166" s="89">
        <f t="shared" si="20"/>
        <v>0</v>
      </c>
      <c r="K166" s="90"/>
      <c r="L166" s="15"/>
      <c r="M166" s="91" t="s">
        <v>0</v>
      </c>
      <c r="N166" s="92" t="s">
        <v>23</v>
      </c>
      <c r="O166" s="93">
        <v>0.39284999999999998</v>
      </c>
      <c r="P166" s="93">
        <f t="shared" si="21"/>
        <v>7.4052224999999998</v>
      </c>
      <c r="Q166" s="93">
        <v>2.9055000000000001E-2</v>
      </c>
      <c r="R166" s="93">
        <f t="shared" si="22"/>
        <v>0.54768675000000011</v>
      </c>
      <c r="S166" s="93">
        <v>0</v>
      </c>
      <c r="T166" s="94">
        <f t="shared" si="23"/>
        <v>0</v>
      </c>
      <c r="V166" s="121" t="s">
        <v>957</v>
      </c>
      <c r="AR166" s="95" t="s">
        <v>93</v>
      </c>
      <c r="AT166" s="95" t="s">
        <v>90</v>
      </c>
      <c r="AU166" s="95" t="s">
        <v>94</v>
      </c>
      <c r="AY166" s="7" t="s">
        <v>88</v>
      </c>
      <c r="BE166" s="96">
        <f t="shared" si="24"/>
        <v>0</v>
      </c>
      <c r="BF166" s="96">
        <f t="shared" si="25"/>
        <v>0</v>
      </c>
      <c r="BG166" s="96">
        <f t="shared" si="26"/>
        <v>0</v>
      </c>
      <c r="BH166" s="96">
        <f t="shared" si="27"/>
        <v>0</v>
      </c>
      <c r="BI166" s="96">
        <f t="shared" si="28"/>
        <v>0</v>
      </c>
      <c r="BJ166" s="7" t="s">
        <v>94</v>
      </c>
      <c r="BK166" s="96">
        <f t="shared" si="29"/>
        <v>0</v>
      </c>
      <c r="BL166" s="7" t="s">
        <v>93</v>
      </c>
      <c r="BM166" s="95" t="s">
        <v>173</v>
      </c>
    </row>
    <row r="167" spans="2:65" s="1" customFormat="1" ht="21.75" customHeight="1">
      <c r="B167" s="83"/>
      <c r="C167" s="84">
        <v>22</v>
      </c>
      <c r="D167" s="84" t="s">
        <v>90</v>
      </c>
      <c r="E167" s="85" t="s">
        <v>174</v>
      </c>
      <c r="F167" s="86" t="s">
        <v>175</v>
      </c>
      <c r="G167" s="87" t="s">
        <v>145</v>
      </c>
      <c r="H167" s="88">
        <v>10</v>
      </c>
      <c r="I167" s="89"/>
      <c r="J167" s="89">
        <f t="shared" si="20"/>
        <v>0</v>
      </c>
      <c r="K167" s="90"/>
      <c r="L167" s="15"/>
      <c r="M167" s="91" t="s">
        <v>0</v>
      </c>
      <c r="N167" s="92" t="s">
        <v>23</v>
      </c>
      <c r="O167" s="93">
        <v>0.38300000000000001</v>
      </c>
      <c r="P167" s="93">
        <f t="shared" si="21"/>
        <v>3.83</v>
      </c>
      <c r="Q167" s="93">
        <v>0</v>
      </c>
      <c r="R167" s="93">
        <f t="shared" si="22"/>
        <v>0</v>
      </c>
      <c r="S167" s="93">
        <v>0</v>
      </c>
      <c r="T167" s="94">
        <f t="shared" si="23"/>
        <v>0</v>
      </c>
      <c r="V167" s="121" t="s">
        <v>957</v>
      </c>
      <c r="AR167" s="95" t="s">
        <v>93</v>
      </c>
      <c r="AT167" s="95" t="s">
        <v>90</v>
      </c>
      <c r="AU167" s="95" t="s">
        <v>94</v>
      </c>
      <c r="AY167" s="7" t="s">
        <v>88</v>
      </c>
      <c r="BE167" s="96">
        <f t="shared" si="24"/>
        <v>0</v>
      </c>
      <c r="BF167" s="96">
        <f t="shared" si="25"/>
        <v>0</v>
      </c>
      <c r="BG167" s="96">
        <f t="shared" si="26"/>
        <v>0</v>
      </c>
      <c r="BH167" s="96">
        <f t="shared" si="27"/>
        <v>0</v>
      </c>
      <c r="BI167" s="96">
        <f t="shared" si="28"/>
        <v>0</v>
      </c>
      <c r="BJ167" s="7" t="s">
        <v>94</v>
      </c>
      <c r="BK167" s="96">
        <f t="shared" si="29"/>
        <v>0</v>
      </c>
      <c r="BL167" s="7" t="s">
        <v>93</v>
      </c>
      <c r="BM167" s="95" t="s">
        <v>176</v>
      </c>
    </row>
    <row r="168" spans="2:65" s="1" customFormat="1" ht="24.2" customHeight="1">
      <c r="B168" s="83"/>
      <c r="C168" s="84">
        <v>23</v>
      </c>
      <c r="D168" s="84" t="s">
        <v>90</v>
      </c>
      <c r="E168" s="85" t="s">
        <v>177</v>
      </c>
      <c r="F168" s="86" t="s">
        <v>1000</v>
      </c>
      <c r="G168" s="87" t="s">
        <v>135</v>
      </c>
      <c r="H168" s="88">
        <v>6.16</v>
      </c>
      <c r="I168" s="89"/>
      <c r="J168" s="89">
        <f t="shared" si="20"/>
        <v>0</v>
      </c>
      <c r="K168" s="90"/>
      <c r="L168" s="15"/>
      <c r="M168" s="91" t="s">
        <v>0</v>
      </c>
      <c r="N168" s="92" t="s">
        <v>23</v>
      </c>
      <c r="O168" s="93">
        <v>0.63543000000000005</v>
      </c>
      <c r="P168" s="93">
        <f t="shared" si="21"/>
        <v>3.9142488000000002</v>
      </c>
      <c r="Q168" s="93">
        <v>0.2332582</v>
      </c>
      <c r="R168" s="93">
        <f t="shared" si="22"/>
        <v>1.436870512</v>
      </c>
      <c r="S168" s="93">
        <v>0</v>
      </c>
      <c r="T168" s="94">
        <f t="shared" si="23"/>
        <v>0</v>
      </c>
      <c r="V168" s="121" t="s">
        <v>957</v>
      </c>
      <c r="AR168" s="95" t="s">
        <v>93</v>
      </c>
      <c r="AT168" s="95" t="s">
        <v>90</v>
      </c>
      <c r="AU168" s="95" t="s">
        <v>94</v>
      </c>
      <c r="AY168" s="7" t="s">
        <v>88</v>
      </c>
      <c r="BE168" s="96">
        <f t="shared" si="24"/>
        <v>0</v>
      </c>
      <c r="BF168" s="96">
        <f t="shared" si="25"/>
        <v>0</v>
      </c>
      <c r="BG168" s="96">
        <f t="shared" si="26"/>
        <v>0</v>
      </c>
      <c r="BH168" s="96">
        <f t="shared" si="27"/>
        <v>0</v>
      </c>
      <c r="BI168" s="96">
        <f t="shared" si="28"/>
        <v>0</v>
      </c>
      <c r="BJ168" s="7" t="s">
        <v>94</v>
      </c>
      <c r="BK168" s="96">
        <f t="shared" si="29"/>
        <v>0</v>
      </c>
      <c r="BL168" s="7" t="s">
        <v>93</v>
      </c>
      <c r="BM168" s="95" t="s">
        <v>178</v>
      </c>
    </row>
    <row r="169" spans="2:65" s="1" customFormat="1" ht="24.2" customHeight="1">
      <c r="B169" s="83"/>
      <c r="C169" s="84">
        <v>24</v>
      </c>
      <c r="D169" s="84" t="s">
        <v>90</v>
      </c>
      <c r="E169" s="85" t="s">
        <v>179</v>
      </c>
      <c r="F169" s="86" t="s">
        <v>999</v>
      </c>
      <c r="G169" s="87" t="s">
        <v>135</v>
      </c>
      <c r="H169" s="88">
        <v>4</v>
      </c>
      <c r="I169" s="89"/>
      <c r="J169" s="89">
        <f t="shared" si="20"/>
        <v>0</v>
      </c>
      <c r="K169" s="90"/>
      <c r="L169" s="15"/>
      <c r="M169" s="91" t="s">
        <v>0</v>
      </c>
      <c r="N169" s="92" t="s">
        <v>23</v>
      </c>
      <c r="O169" s="93">
        <v>0.66330999999999996</v>
      </c>
      <c r="P169" s="93">
        <f t="shared" si="21"/>
        <v>2.6532399999999998</v>
      </c>
      <c r="Q169" s="93">
        <v>0.27987719999999999</v>
      </c>
      <c r="R169" s="93">
        <f t="shared" si="22"/>
        <v>1.1195088</v>
      </c>
      <c r="S169" s="93">
        <v>0</v>
      </c>
      <c r="T169" s="94">
        <f t="shared" si="23"/>
        <v>0</v>
      </c>
      <c r="V169" s="121" t="s">
        <v>957</v>
      </c>
      <c r="AR169" s="95" t="s">
        <v>93</v>
      </c>
      <c r="AT169" s="95" t="s">
        <v>90</v>
      </c>
      <c r="AU169" s="95" t="s">
        <v>94</v>
      </c>
      <c r="AY169" s="7" t="s">
        <v>88</v>
      </c>
      <c r="BE169" s="96">
        <f t="shared" si="24"/>
        <v>0</v>
      </c>
      <c r="BF169" s="96">
        <f t="shared" si="25"/>
        <v>0</v>
      </c>
      <c r="BG169" s="96">
        <f t="shared" si="26"/>
        <v>0</v>
      </c>
      <c r="BH169" s="96">
        <f t="shared" si="27"/>
        <v>0</v>
      </c>
      <c r="BI169" s="96">
        <f t="shared" si="28"/>
        <v>0</v>
      </c>
      <c r="BJ169" s="7" t="s">
        <v>94</v>
      </c>
      <c r="BK169" s="96">
        <f t="shared" si="29"/>
        <v>0</v>
      </c>
      <c r="BL169" s="7" t="s">
        <v>93</v>
      </c>
      <c r="BM169" s="95" t="s">
        <v>180</v>
      </c>
    </row>
    <row r="170" spans="2:65" s="1" customFormat="1" ht="33" customHeight="1">
      <c r="B170" s="83"/>
      <c r="C170" s="84">
        <v>25</v>
      </c>
      <c r="D170" s="84" t="s">
        <v>90</v>
      </c>
      <c r="E170" s="85" t="s">
        <v>181</v>
      </c>
      <c r="F170" s="86" t="s">
        <v>998</v>
      </c>
      <c r="G170" s="87" t="s">
        <v>135</v>
      </c>
      <c r="H170" s="88">
        <f>37.34+25.61</f>
        <v>62.95</v>
      </c>
      <c r="I170" s="89"/>
      <c r="J170" s="89">
        <f t="shared" si="20"/>
        <v>0</v>
      </c>
      <c r="K170" s="90"/>
      <c r="L170" s="15"/>
      <c r="M170" s="91" t="s">
        <v>0</v>
      </c>
      <c r="N170" s="92" t="s">
        <v>23</v>
      </c>
      <c r="O170" s="93">
        <v>0.44168000000000002</v>
      </c>
      <c r="P170" s="93">
        <f t="shared" si="21"/>
        <v>27.803756000000003</v>
      </c>
      <c r="Q170" s="93">
        <v>0.1106857</v>
      </c>
      <c r="R170" s="93">
        <f t="shared" si="22"/>
        <v>6.967664815</v>
      </c>
      <c r="S170" s="93">
        <v>0</v>
      </c>
      <c r="T170" s="94">
        <f t="shared" si="23"/>
        <v>0</v>
      </c>
      <c r="V170" s="121" t="s">
        <v>957</v>
      </c>
      <c r="AR170" s="95" t="s">
        <v>93</v>
      </c>
      <c r="AT170" s="95" t="s">
        <v>90</v>
      </c>
      <c r="AU170" s="95" t="s">
        <v>94</v>
      </c>
      <c r="AY170" s="7" t="s">
        <v>88</v>
      </c>
      <c r="BE170" s="96">
        <f t="shared" si="24"/>
        <v>0</v>
      </c>
      <c r="BF170" s="96">
        <f t="shared" si="25"/>
        <v>0</v>
      </c>
      <c r="BG170" s="96">
        <f t="shared" si="26"/>
        <v>0</v>
      </c>
      <c r="BH170" s="96">
        <f t="shared" si="27"/>
        <v>0</v>
      </c>
      <c r="BI170" s="96">
        <f t="shared" si="28"/>
        <v>0</v>
      </c>
      <c r="BJ170" s="7" t="s">
        <v>94</v>
      </c>
      <c r="BK170" s="96">
        <f t="shared" si="29"/>
        <v>0</v>
      </c>
      <c r="BL170" s="7" t="s">
        <v>93</v>
      </c>
      <c r="BM170" s="95" t="s">
        <v>182</v>
      </c>
    </row>
    <row r="171" spans="2:65" s="1" customFormat="1" ht="33" customHeight="1">
      <c r="B171" s="83"/>
      <c r="C171" s="84">
        <v>26</v>
      </c>
      <c r="D171" s="84" t="s">
        <v>90</v>
      </c>
      <c r="E171" s="85" t="s">
        <v>183</v>
      </c>
      <c r="F171" s="86" t="s">
        <v>184</v>
      </c>
      <c r="G171" s="87" t="s">
        <v>145</v>
      </c>
      <c r="H171" s="88">
        <v>30</v>
      </c>
      <c r="I171" s="89"/>
      <c r="J171" s="89">
        <f t="shared" si="20"/>
        <v>0</v>
      </c>
      <c r="K171" s="90"/>
      <c r="L171" s="15"/>
      <c r="M171" s="91" t="s">
        <v>0</v>
      </c>
      <c r="N171" s="92" t="s">
        <v>23</v>
      </c>
      <c r="O171" s="93">
        <v>6.0049999999999999E-2</v>
      </c>
      <c r="P171" s="93">
        <f t="shared" si="21"/>
        <v>1.8014999999999999</v>
      </c>
      <c r="Q171" s="93">
        <v>4.0640000000000001E-4</v>
      </c>
      <c r="R171" s="93">
        <f t="shared" si="22"/>
        <v>1.2192E-2</v>
      </c>
      <c r="S171" s="93">
        <v>0</v>
      </c>
      <c r="T171" s="94">
        <f t="shared" si="23"/>
        <v>0</v>
      </c>
      <c r="V171" s="121" t="s">
        <v>957</v>
      </c>
      <c r="AR171" s="95" t="s">
        <v>93</v>
      </c>
      <c r="AT171" s="95" t="s">
        <v>90</v>
      </c>
      <c r="AU171" s="95" t="s">
        <v>94</v>
      </c>
      <c r="AY171" s="7" t="s">
        <v>88</v>
      </c>
      <c r="BE171" s="96">
        <f t="shared" si="24"/>
        <v>0</v>
      </c>
      <c r="BF171" s="96">
        <f t="shared" si="25"/>
        <v>0</v>
      </c>
      <c r="BG171" s="96">
        <f t="shared" si="26"/>
        <v>0</v>
      </c>
      <c r="BH171" s="96">
        <f t="shared" si="27"/>
        <v>0</v>
      </c>
      <c r="BI171" s="96">
        <f t="shared" si="28"/>
        <v>0</v>
      </c>
      <c r="BJ171" s="7" t="s">
        <v>94</v>
      </c>
      <c r="BK171" s="96">
        <f t="shared" si="29"/>
        <v>0</v>
      </c>
      <c r="BL171" s="7" t="s">
        <v>93</v>
      </c>
      <c r="BM171" s="95" t="s">
        <v>185</v>
      </c>
    </row>
    <row r="172" spans="2:65" s="1" customFormat="1" ht="24.2" customHeight="1">
      <c r="B172" s="83"/>
      <c r="C172" s="84">
        <v>27</v>
      </c>
      <c r="D172" s="84" t="s">
        <v>90</v>
      </c>
      <c r="E172" s="85" t="s">
        <v>186</v>
      </c>
      <c r="F172" s="86" t="s">
        <v>187</v>
      </c>
      <c r="G172" s="87" t="s">
        <v>145</v>
      </c>
      <c r="H172" s="88">
        <v>30</v>
      </c>
      <c r="I172" s="89"/>
      <c r="J172" s="89">
        <f t="shared" si="20"/>
        <v>0</v>
      </c>
      <c r="K172" s="90"/>
      <c r="L172" s="15"/>
      <c r="M172" s="91" t="s">
        <v>0</v>
      </c>
      <c r="N172" s="92" t="s">
        <v>23</v>
      </c>
      <c r="O172" s="93">
        <v>0.12002</v>
      </c>
      <c r="P172" s="93">
        <f t="shared" si="21"/>
        <v>3.6006</v>
      </c>
      <c r="Q172" s="93">
        <v>1.4999999999999999E-4</v>
      </c>
      <c r="R172" s="93">
        <f t="shared" si="22"/>
        <v>4.4999999999999997E-3</v>
      </c>
      <c r="S172" s="93">
        <v>0</v>
      </c>
      <c r="T172" s="94">
        <f t="shared" si="23"/>
        <v>0</v>
      </c>
      <c r="V172" s="121" t="s">
        <v>957</v>
      </c>
      <c r="AR172" s="95" t="s">
        <v>93</v>
      </c>
      <c r="AT172" s="95" t="s">
        <v>90</v>
      </c>
      <c r="AU172" s="95" t="s">
        <v>94</v>
      </c>
      <c r="AY172" s="7" t="s">
        <v>88</v>
      </c>
      <c r="BE172" s="96">
        <f t="shared" si="24"/>
        <v>0</v>
      </c>
      <c r="BF172" s="96">
        <f t="shared" si="25"/>
        <v>0</v>
      </c>
      <c r="BG172" s="96">
        <f t="shared" si="26"/>
        <v>0</v>
      </c>
      <c r="BH172" s="96">
        <f t="shared" si="27"/>
        <v>0</v>
      </c>
      <c r="BI172" s="96">
        <f t="shared" si="28"/>
        <v>0</v>
      </c>
      <c r="BJ172" s="7" t="s">
        <v>94</v>
      </c>
      <c r="BK172" s="96">
        <f t="shared" si="29"/>
        <v>0</v>
      </c>
      <c r="BL172" s="7" t="s">
        <v>93</v>
      </c>
      <c r="BM172" s="95" t="s">
        <v>188</v>
      </c>
    </row>
    <row r="173" spans="2:65" s="6" customFormat="1" ht="22.9" customHeight="1">
      <c r="B173" s="72"/>
      <c r="D173" s="73" t="s">
        <v>39</v>
      </c>
      <c r="E173" s="81" t="s">
        <v>110</v>
      </c>
      <c r="F173" s="81" t="s">
        <v>189</v>
      </c>
      <c r="J173" s="82">
        <f>SUM(J174:J190)</f>
        <v>0</v>
      </c>
      <c r="L173" s="72"/>
      <c r="M173" s="76"/>
      <c r="P173" s="77">
        <f>SUM(P174:P190)</f>
        <v>2246.2299913219995</v>
      </c>
      <c r="R173" s="77">
        <f>SUM(R174:R190)</f>
        <v>49.774904076799999</v>
      </c>
      <c r="T173" s="78">
        <f>SUM(T174:T190)</f>
        <v>0</v>
      </c>
      <c r="AR173" s="73" t="s">
        <v>41</v>
      </c>
      <c r="AT173" s="79" t="s">
        <v>39</v>
      </c>
      <c r="AU173" s="79" t="s">
        <v>41</v>
      </c>
      <c r="AY173" s="73" t="s">
        <v>88</v>
      </c>
      <c r="BK173" s="80">
        <f>SUM(BK174:BK190)</f>
        <v>0</v>
      </c>
    </row>
    <row r="174" spans="2:65" s="1" customFormat="1" ht="44.25" customHeight="1">
      <c r="B174" s="83"/>
      <c r="C174" s="84">
        <v>28</v>
      </c>
      <c r="D174" s="84" t="s">
        <v>90</v>
      </c>
      <c r="E174" s="85" t="s">
        <v>190</v>
      </c>
      <c r="F174" s="86" t="s">
        <v>997</v>
      </c>
      <c r="G174" s="87" t="s">
        <v>135</v>
      </c>
      <c r="H174" s="88">
        <v>59.506</v>
      </c>
      <c r="I174" s="89"/>
      <c r="J174" s="89">
        <f t="shared" ref="J174:J190" si="30">ROUND(I174*H174,2)</f>
        <v>0</v>
      </c>
      <c r="K174" s="90"/>
      <c r="L174" s="15"/>
      <c r="M174" s="91" t="s">
        <v>0</v>
      </c>
      <c r="N174" s="92" t="s">
        <v>23</v>
      </c>
      <c r="O174" s="93">
        <v>0.65278000000000003</v>
      </c>
      <c r="P174" s="93">
        <f t="shared" ref="P174:P190" si="31">O174*H174</f>
        <v>38.844326680000002</v>
      </c>
      <c r="Q174" s="93">
        <v>3.3000000000000002E-2</v>
      </c>
      <c r="R174" s="93">
        <f t="shared" ref="R174:R190" si="32">Q174*H174</f>
        <v>1.9636980000000002</v>
      </c>
      <c r="S174" s="93">
        <v>0</v>
      </c>
      <c r="T174" s="94">
        <f t="shared" ref="T174:T190" si="33">S174*H174</f>
        <v>0</v>
      </c>
      <c r="V174" s="127" t="s">
        <v>956</v>
      </c>
      <c r="AR174" s="95" t="s">
        <v>93</v>
      </c>
      <c r="AT174" s="95" t="s">
        <v>90</v>
      </c>
      <c r="AU174" s="95" t="s">
        <v>94</v>
      </c>
      <c r="AY174" s="7" t="s">
        <v>88</v>
      </c>
      <c r="BE174" s="96">
        <f t="shared" ref="BE174:BE190" si="34">IF(N174="základná",J174,0)</f>
        <v>0</v>
      </c>
      <c r="BF174" s="96">
        <f t="shared" ref="BF174:BF190" si="35">IF(N174="znížená",J174,0)</f>
        <v>0</v>
      </c>
      <c r="BG174" s="96">
        <f t="shared" ref="BG174:BG190" si="36">IF(N174="zákl. prenesená",J174,0)</f>
        <v>0</v>
      </c>
      <c r="BH174" s="96">
        <f t="shared" ref="BH174:BH190" si="37">IF(N174="zníž. prenesená",J174,0)</f>
        <v>0</v>
      </c>
      <c r="BI174" s="96">
        <f t="shared" ref="BI174:BI190" si="38">IF(N174="nulová",J174,0)</f>
        <v>0</v>
      </c>
      <c r="BJ174" s="7" t="s">
        <v>94</v>
      </c>
      <c r="BK174" s="96">
        <f t="shared" ref="BK174:BK190" si="39">ROUND(I174*H174,2)</f>
        <v>0</v>
      </c>
      <c r="BL174" s="7" t="s">
        <v>93</v>
      </c>
      <c r="BM174" s="95" t="s">
        <v>191</v>
      </c>
    </row>
    <row r="175" spans="2:65" s="1" customFormat="1" ht="24.2" customHeight="1">
      <c r="B175" s="83"/>
      <c r="C175" s="84">
        <v>29</v>
      </c>
      <c r="D175" s="84" t="s">
        <v>90</v>
      </c>
      <c r="E175" s="85" t="s">
        <v>192</v>
      </c>
      <c r="F175" s="86" t="s">
        <v>193</v>
      </c>
      <c r="G175" s="87" t="s">
        <v>135</v>
      </c>
      <c r="H175" s="88">
        <f>H174*1.1</f>
        <v>65.456600000000009</v>
      </c>
      <c r="I175" s="89"/>
      <c r="J175" s="89">
        <f t="shared" si="30"/>
        <v>0</v>
      </c>
      <c r="K175" s="90"/>
      <c r="L175" s="15"/>
      <c r="M175" s="91" t="s">
        <v>0</v>
      </c>
      <c r="N175" s="92" t="s">
        <v>23</v>
      </c>
      <c r="O175" s="93">
        <v>0.21106</v>
      </c>
      <c r="P175" s="93">
        <f t="shared" si="31"/>
        <v>13.815269996000001</v>
      </c>
      <c r="Q175" s="93">
        <v>5.1539999999999997E-3</v>
      </c>
      <c r="R175" s="93">
        <f t="shared" si="32"/>
        <v>0.3373633164</v>
      </c>
      <c r="S175" s="93">
        <v>0</v>
      </c>
      <c r="T175" s="94">
        <f t="shared" si="33"/>
        <v>0</v>
      </c>
      <c r="V175" s="127" t="s">
        <v>956</v>
      </c>
      <c r="AR175" s="95" t="s">
        <v>93</v>
      </c>
      <c r="AT175" s="95" t="s">
        <v>90</v>
      </c>
      <c r="AU175" s="95" t="s">
        <v>94</v>
      </c>
      <c r="AY175" s="7" t="s">
        <v>88</v>
      </c>
      <c r="BE175" s="96">
        <f t="shared" si="34"/>
        <v>0</v>
      </c>
      <c r="BF175" s="96">
        <f t="shared" si="35"/>
        <v>0</v>
      </c>
      <c r="BG175" s="96">
        <f t="shared" si="36"/>
        <v>0</v>
      </c>
      <c r="BH175" s="96">
        <f t="shared" si="37"/>
        <v>0</v>
      </c>
      <c r="BI175" s="96">
        <f t="shared" si="38"/>
        <v>0</v>
      </c>
      <c r="BJ175" s="7" t="s">
        <v>94</v>
      </c>
      <c r="BK175" s="96">
        <f t="shared" si="39"/>
        <v>0</v>
      </c>
      <c r="BL175" s="7" t="s">
        <v>93</v>
      </c>
      <c r="BM175" s="95" t="s">
        <v>194</v>
      </c>
    </row>
    <row r="176" spans="2:65" s="1" customFormat="1" ht="24.2" customHeight="1">
      <c r="B176" s="83"/>
      <c r="C176" s="84">
        <v>30</v>
      </c>
      <c r="D176" s="84" t="s">
        <v>90</v>
      </c>
      <c r="E176" s="85" t="s">
        <v>195</v>
      </c>
      <c r="F176" s="86" t="s">
        <v>196</v>
      </c>
      <c r="G176" s="87" t="s">
        <v>135</v>
      </c>
      <c r="H176" s="88">
        <v>50</v>
      </c>
      <c r="I176" s="89"/>
      <c r="J176" s="89">
        <f t="shared" si="30"/>
        <v>0</v>
      </c>
      <c r="K176" s="90"/>
      <c r="L176" s="15"/>
      <c r="M176" s="91" t="s">
        <v>0</v>
      </c>
      <c r="N176" s="92" t="s">
        <v>23</v>
      </c>
      <c r="O176" s="93">
        <v>0.31816</v>
      </c>
      <c r="P176" s="93">
        <f t="shared" si="31"/>
        <v>15.907999999999999</v>
      </c>
      <c r="Q176" s="93">
        <v>1.0500000000000001E-2</v>
      </c>
      <c r="R176" s="93">
        <f t="shared" si="32"/>
        <v>0.52500000000000002</v>
      </c>
      <c r="S176" s="93">
        <v>0</v>
      </c>
      <c r="T176" s="94">
        <f t="shared" si="33"/>
        <v>0</v>
      </c>
      <c r="V176" s="127" t="s">
        <v>956</v>
      </c>
      <c r="AR176" s="95" t="s">
        <v>93</v>
      </c>
      <c r="AT176" s="95" t="s">
        <v>90</v>
      </c>
      <c r="AU176" s="95" t="s">
        <v>94</v>
      </c>
      <c r="AY176" s="7" t="s">
        <v>88</v>
      </c>
      <c r="BE176" s="96">
        <f t="shared" si="34"/>
        <v>0</v>
      </c>
      <c r="BF176" s="96">
        <f t="shared" si="35"/>
        <v>0</v>
      </c>
      <c r="BG176" s="96">
        <f t="shared" si="36"/>
        <v>0</v>
      </c>
      <c r="BH176" s="96">
        <f t="shared" si="37"/>
        <v>0</v>
      </c>
      <c r="BI176" s="96">
        <f t="shared" si="38"/>
        <v>0</v>
      </c>
      <c r="BJ176" s="7" t="s">
        <v>94</v>
      </c>
      <c r="BK176" s="96">
        <f t="shared" si="39"/>
        <v>0</v>
      </c>
      <c r="BL176" s="7" t="s">
        <v>93</v>
      </c>
      <c r="BM176" s="95" t="s">
        <v>197</v>
      </c>
    </row>
    <row r="177" spans="2:65" s="1" customFormat="1" ht="33" customHeight="1">
      <c r="B177" s="83"/>
      <c r="C177" s="84">
        <v>31</v>
      </c>
      <c r="D177" s="84" t="s">
        <v>90</v>
      </c>
      <c r="E177" s="85" t="s">
        <v>198</v>
      </c>
      <c r="F177" s="86" t="s">
        <v>199</v>
      </c>
      <c r="G177" s="87" t="s">
        <v>135</v>
      </c>
      <c r="H177" s="88">
        <v>50</v>
      </c>
      <c r="I177" s="89"/>
      <c r="J177" s="89">
        <f t="shared" si="30"/>
        <v>0</v>
      </c>
      <c r="K177" s="90"/>
      <c r="L177" s="15"/>
      <c r="M177" s="91" t="s">
        <v>0</v>
      </c>
      <c r="N177" s="92" t="s">
        <v>23</v>
      </c>
      <c r="O177" s="93">
        <v>0.40075</v>
      </c>
      <c r="P177" s="93">
        <f t="shared" si="31"/>
        <v>20.037500000000001</v>
      </c>
      <c r="Q177" s="93">
        <v>2.3099999999999999E-2</v>
      </c>
      <c r="R177" s="93">
        <f t="shared" si="32"/>
        <v>1.155</v>
      </c>
      <c r="S177" s="93">
        <v>0</v>
      </c>
      <c r="T177" s="94">
        <f t="shared" si="33"/>
        <v>0</v>
      </c>
      <c r="V177" s="127" t="s">
        <v>956</v>
      </c>
      <c r="AR177" s="95" t="s">
        <v>93</v>
      </c>
      <c r="AT177" s="95" t="s">
        <v>90</v>
      </c>
      <c r="AU177" s="95" t="s">
        <v>94</v>
      </c>
      <c r="AY177" s="7" t="s">
        <v>88</v>
      </c>
      <c r="BE177" s="96">
        <f t="shared" si="34"/>
        <v>0</v>
      </c>
      <c r="BF177" s="96">
        <f t="shared" si="35"/>
        <v>0</v>
      </c>
      <c r="BG177" s="96">
        <f t="shared" si="36"/>
        <v>0</v>
      </c>
      <c r="BH177" s="96">
        <f t="shared" si="37"/>
        <v>0</v>
      </c>
      <c r="BI177" s="96">
        <f t="shared" si="38"/>
        <v>0</v>
      </c>
      <c r="BJ177" s="7" t="s">
        <v>94</v>
      </c>
      <c r="BK177" s="96">
        <f t="shared" si="39"/>
        <v>0</v>
      </c>
      <c r="BL177" s="7" t="s">
        <v>93</v>
      </c>
      <c r="BM177" s="95" t="s">
        <v>200</v>
      </c>
    </row>
    <row r="178" spans="2:65" s="1" customFormat="1" ht="24.2" customHeight="1">
      <c r="B178" s="83"/>
      <c r="C178" s="84">
        <v>32</v>
      </c>
      <c r="D178" s="84" t="s">
        <v>90</v>
      </c>
      <c r="E178" s="85" t="s">
        <v>201</v>
      </c>
      <c r="F178" s="86" t="s">
        <v>202</v>
      </c>
      <c r="G178" s="87" t="s">
        <v>135</v>
      </c>
      <c r="H178" s="88">
        <v>50</v>
      </c>
      <c r="I178" s="89"/>
      <c r="J178" s="89">
        <f t="shared" si="30"/>
        <v>0</v>
      </c>
      <c r="K178" s="90"/>
      <c r="L178" s="15"/>
      <c r="M178" s="91" t="s">
        <v>0</v>
      </c>
      <c r="N178" s="92" t="s">
        <v>23</v>
      </c>
      <c r="O178" s="93">
        <v>0.29754000000000003</v>
      </c>
      <c r="P178" s="93">
        <f t="shared" si="31"/>
        <v>14.877000000000001</v>
      </c>
      <c r="Q178" s="93">
        <v>2.6250000000000002E-3</v>
      </c>
      <c r="R178" s="93">
        <f t="shared" si="32"/>
        <v>0.13125000000000001</v>
      </c>
      <c r="S178" s="93">
        <v>0</v>
      </c>
      <c r="T178" s="94">
        <f t="shared" si="33"/>
        <v>0</v>
      </c>
      <c r="V178" s="120" t="s">
        <v>948</v>
      </c>
      <c r="AR178" s="95" t="s">
        <v>93</v>
      </c>
      <c r="AT178" s="95" t="s">
        <v>90</v>
      </c>
      <c r="AU178" s="95" t="s">
        <v>94</v>
      </c>
      <c r="AY178" s="7" t="s">
        <v>88</v>
      </c>
      <c r="BE178" s="96">
        <f t="shared" si="34"/>
        <v>0</v>
      </c>
      <c r="BF178" s="96">
        <f t="shared" si="35"/>
        <v>0</v>
      </c>
      <c r="BG178" s="96">
        <f t="shared" si="36"/>
        <v>0</v>
      </c>
      <c r="BH178" s="96">
        <f t="shared" si="37"/>
        <v>0</v>
      </c>
      <c r="BI178" s="96">
        <f t="shared" si="38"/>
        <v>0</v>
      </c>
      <c r="BJ178" s="7" t="s">
        <v>94</v>
      </c>
      <c r="BK178" s="96">
        <f t="shared" si="39"/>
        <v>0</v>
      </c>
      <c r="BL178" s="7" t="s">
        <v>93</v>
      </c>
      <c r="BM178" s="95" t="s">
        <v>203</v>
      </c>
    </row>
    <row r="179" spans="2:65" s="1" customFormat="1" ht="37.9" customHeight="1">
      <c r="B179" s="83"/>
      <c r="C179" s="84">
        <v>33</v>
      </c>
      <c r="D179" s="84" t="s">
        <v>90</v>
      </c>
      <c r="E179" s="85" t="s">
        <v>204</v>
      </c>
      <c r="F179" s="86" t="s">
        <v>205</v>
      </c>
      <c r="G179" s="87" t="s">
        <v>135</v>
      </c>
      <c r="H179" s="88">
        <f>358.6+493.51</f>
        <v>852.11</v>
      </c>
      <c r="I179" s="89"/>
      <c r="J179" s="89">
        <f t="shared" si="30"/>
        <v>0</v>
      </c>
      <c r="K179" s="90"/>
      <c r="L179" s="15"/>
      <c r="M179" s="91" t="s">
        <v>0</v>
      </c>
      <c r="N179" s="92" t="s">
        <v>23</v>
      </c>
      <c r="O179" s="93">
        <v>0.60546</v>
      </c>
      <c r="P179" s="93">
        <f t="shared" si="31"/>
        <v>515.91852059999997</v>
      </c>
      <c r="Q179" s="93">
        <v>1.4330000000000001E-2</v>
      </c>
      <c r="R179" s="93">
        <f t="shared" si="32"/>
        <v>12.210736300000001</v>
      </c>
      <c r="S179" s="93">
        <v>0</v>
      </c>
      <c r="T179" s="94">
        <f t="shared" si="33"/>
        <v>0</v>
      </c>
      <c r="V179" s="120" t="s">
        <v>948</v>
      </c>
      <c r="AR179" s="95" t="s">
        <v>93</v>
      </c>
      <c r="AT179" s="95" t="s">
        <v>90</v>
      </c>
      <c r="AU179" s="95" t="s">
        <v>94</v>
      </c>
      <c r="AY179" s="7" t="s">
        <v>88</v>
      </c>
      <c r="BE179" s="96">
        <f t="shared" si="34"/>
        <v>0</v>
      </c>
      <c r="BF179" s="96">
        <f t="shared" si="35"/>
        <v>0</v>
      </c>
      <c r="BG179" s="96">
        <f t="shared" si="36"/>
        <v>0</v>
      </c>
      <c r="BH179" s="96">
        <f t="shared" si="37"/>
        <v>0</v>
      </c>
      <c r="BI179" s="96">
        <f t="shared" si="38"/>
        <v>0</v>
      </c>
      <c r="BJ179" s="7" t="s">
        <v>94</v>
      </c>
      <c r="BK179" s="96">
        <f t="shared" si="39"/>
        <v>0</v>
      </c>
      <c r="BL179" s="7" t="s">
        <v>93</v>
      </c>
      <c r="BM179" s="95" t="s">
        <v>206</v>
      </c>
    </row>
    <row r="180" spans="2:65" s="1" customFormat="1" ht="37.9" customHeight="1">
      <c r="B180" s="83"/>
      <c r="C180" s="84">
        <v>34</v>
      </c>
      <c r="D180" s="84" t="s">
        <v>90</v>
      </c>
      <c r="E180" s="85" t="s">
        <v>207</v>
      </c>
      <c r="F180" s="86" t="s">
        <v>208</v>
      </c>
      <c r="G180" s="87" t="s">
        <v>135</v>
      </c>
      <c r="H180" s="88">
        <f>H179</f>
        <v>852.11</v>
      </c>
      <c r="I180" s="89"/>
      <c r="J180" s="89">
        <f t="shared" si="30"/>
        <v>0</v>
      </c>
      <c r="K180" s="90"/>
      <c r="L180" s="15"/>
      <c r="M180" s="91" t="s">
        <v>0</v>
      </c>
      <c r="N180" s="92" t="s">
        <v>23</v>
      </c>
      <c r="O180" s="93">
        <v>9.2030000000000001E-2</v>
      </c>
      <c r="P180" s="93">
        <f t="shared" si="31"/>
        <v>78.419683300000003</v>
      </c>
      <c r="Q180" s="93">
        <v>1.4999999999999999E-4</v>
      </c>
      <c r="R180" s="93">
        <f t="shared" si="32"/>
        <v>0.1278165</v>
      </c>
      <c r="S180" s="93">
        <v>0</v>
      </c>
      <c r="T180" s="94">
        <f t="shared" si="33"/>
        <v>0</v>
      </c>
      <c r="V180" s="120" t="s">
        <v>948</v>
      </c>
      <c r="AR180" s="95" t="s">
        <v>93</v>
      </c>
      <c r="AT180" s="95" t="s">
        <v>90</v>
      </c>
      <c r="AU180" s="95" t="s">
        <v>94</v>
      </c>
      <c r="AY180" s="7" t="s">
        <v>88</v>
      </c>
      <c r="BE180" s="96">
        <f t="shared" si="34"/>
        <v>0</v>
      </c>
      <c r="BF180" s="96">
        <f t="shared" si="35"/>
        <v>0</v>
      </c>
      <c r="BG180" s="96">
        <f t="shared" si="36"/>
        <v>0</v>
      </c>
      <c r="BH180" s="96">
        <f t="shared" si="37"/>
        <v>0</v>
      </c>
      <c r="BI180" s="96">
        <f t="shared" si="38"/>
        <v>0</v>
      </c>
      <c r="BJ180" s="7" t="s">
        <v>94</v>
      </c>
      <c r="BK180" s="96">
        <f t="shared" si="39"/>
        <v>0</v>
      </c>
      <c r="BL180" s="7" t="s">
        <v>93</v>
      </c>
      <c r="BM180" s="95" t="s">
        <v>209</v>
      </c>
    </row>
    <row r="181" spans="2:65" s="1" customFormat="1" ht="37.9" customHeight="1">
      <c r="B181" s="83"/>
      <c r="C181" s="84">
        <v>35</v>
      </c>
      <c r="D181" s="84" t="s">
        <v>90</v>
      </c>
      <c r="E181" s="85" t="s">
        <v>210</v>
      </c>
      <c r="F181" s="86" t="s">
        <v>211</v>
      </c>
      <c r="G181" s="87" t="s">
        <v>135</v>
      </c>
      <c r="H181" s="88">
        <f>H180</f>
        <v>852.11</v>
      </c>
      <c r="I181" s="89"/>
      <c r="J181" s="89">
        <f t="shared" si="30"/>
        <v>0</v>
      </c>
      <c r="K181" s="90"/>
      <c r="L181" s="15"/>
      <c r="M181" s="91" t="s">
        <v>0</v>
      </c>
      <c r="N181" s="92" t="s">
        <v>23</v>
      </c>
      <c r="O181" s="93">
        <v>9.2069999999999999E-2</v>
      </c>
      <c r="P181" s="93">
        <f t="shared" si="31"/>
        <v>78.4537677</v>
      </c>
      <c r="Q181" s="93">
        <v>3.5E-4</v>
      </c>
      <c r="R181" s="93">
        <f t="shared" si="32"/>
        <v>0.29823850000000002</v>
      </c>
      <c r="S181" s="93">
        <v>0</v>
      </c>
      <c r="T181" s="94">
        <f t="shared" si="33"/>
        <v>0</v>
      </c>
      <c r="V181" s="120" t="s">
        <v>948</v>
      </c>
      <c r="AR181" s="95" t="s">
        <v>93</v>
      </c>
      <c r="AT181" s="95" t="s">
        <v>90</v>
      </c>
      <c r="AU181" s="95" t="s">
        <v>94</v>
      </c>
      <c r="AY181" s="7" t="s">
        <v>88</v>
      </c>
      <c r="BE181" s="96">
        <f t="shared" si="34"/>
        <v>0</v>
      </c>
      <c r="BF181" s="96">
        <f t="shared" si="35"/>
        <v>0</v>
      </c>
      <c r="BG181" s="96">
        <f t="shared" si="36"/>
        <v>0</v>
      </c>
      <c r="BH181" s="96">
        <f t="shared" si="37"/>
        <v>0</v>
      </c>
      <c r="BI181" s="96">
        <f t="shared" si="38"/>
        <v>0</v>
      </c>
      <c r="BJ181" s="7" t="s">
        <v>94</v>
      </c>
      <c r="BK181" s="96">
        <f t="shared" si="39"/>
        <v>0</v>
      </c>
      <c r="BL181" s="7" t="s">
        <v>93</v>
      </c>
      <c r="BM181" s="95" t="s">
        <v>212</v>
      </c>
    </row>
    <row r="182" spans="2:65" s="1" customFormat="1" ht="16.5" customHeight="1">
      <c r="B182" s="83"/>
      <c r="C182" s="84">
        <v>36</v>
      </c>
      <c r="D182" s="84" t="s">
        <v>90</v>
      </c>
      <c r="E182" s="85" t="s">
        <v>213</v>
      </c>
      <c r="F182" s="86" t="s">
        <v>965</v>
      </c>
      <c r="G182" s="87" t="s">
        <v>135</v>
      </c>
      <c r="H182" s="88">
        <f>H181</f>
        <v>852.11</v>
      </c>
      <c r="I182" s="89"/>
      <c r="J182" s="89">
        <f t="shared" si="30"/>
        <v>0</v>
      </c>
      <c r="K182" s="90"/>
      <c r="L182" s="15"/>
      <c r="M182" s="91" t="s">
        <v>0</v>
      </c>
      <c r="N182" s="92" t="s">
        <v>23</v>
      </c>
      <c r="O182" s="93">
        <v>9.2060000000000003E-2</v>
      </c>
      <c r="P182" s="93">
        <f t="shared" si="31"/>
        <v>78.445246600000004</v>
      </c>
      <c r="Q182" s="93">
        <v>2.9999999999999997E-4</v>
      </c>
      <c r="R182" s="93">
        <f t="shared" si="32"/>
        <v>0.255633</v>
      </c>
      <c r="S182" s="93">
        <v>0</v>
      </c>
      <c r="T182" s="94">
        <f t="shared" si="33"/>
        <v>0</v>
      </c>
      <c r="V182" s="120" t="s">
        <v>948</v>
      </c>
      <c r="AR182" s="95" t="s">
        <v>93</v>
      </c>
      <c r="AT182" s="95" t="s">
        <v>90</v>
      </c>
      <c r="AU182" s="95" t="s">
        <v>94</v>
      </c>
      <c r="AY182" s="7" t="s">
        <v>88</v>
      </c>
      <c r="BE182" s="96">
        <f t="shared" si="34"/>
        <v>0</v>
      </c>
      <c r="BF182" s="96">
        <f t="shared" si="35"/>
        <v>0</v>
      </c>
      <c r="BG182" s="96">
        <f t="shared" si="36"/>
        <v>0</v>
      </c>
      <c r="BH182" s="96">
        <f t="shared" si="37"/>
        <v>0</v>
      </c>
      <c r="BI182" s="96">
        <f t="shared" si="38"/>
        <v>0</v>
      </c>
      <c r="BJ182" s="7" t="s">
        <v>94</v>
      </c>
      <c r="BK182" s="96">
        <f t="shared" si="39"/>
        <v>0</v>
      </c>
      <c r="BL182" s="7" t="s">
        <v>93</v>
      </c>
      <c r="BM182" s="95" t="s">
        <v>214</v>
      </c>
    </row>
    <row r="183" spans="2:65" s="1" customFormat="1" ht="24.2" customHeight="1">
      <c r="B183" s="83"/>
      <c r="C183" s="84">
        <v>37</v>
      </c>
      <c r="D183" s="84" t="s">
        <v>90</v>
      </c>
      <c r="E183" s="85" t="s">
        <v>215</v>
      </c>
      <c r="F183" s="86" t="s">
        <v>974</v>
      </c>
      <c r="G183" s="87" t="s">
        <v>135</v>
      </c>
      <c r="H183" s="88">
        <f>11.11+6.19+123.91+36.6+13.82</f>
        <v>191.63</v>
      </c>
      <c r="I183" s="89"/>
      <c r="J183" s="89">
        <f t="shared" si="30"/>
        <v>0</v>
      </c>
      <c r="K183" s="90"/>
      <c r="L183" s="15"/>
      <c r="M183" s="91" t="s">
        <v>0</v>
      </c>
      <c r="N183" s="92" t="s">
        <v>23</v>
      </c>
      <c r="O183" s="93">
        <v>0.34899999999999998</v>
      </c>
      <c r="P183" s="93">
        <f t="shared" si="31"/>
        <v>66.878869999999992</v>
      </c>
      <c r="Q183" s="93">
        <v>2.5000000000000001E-3</v>
      </c>
      <c r="R183" s="93">
        <f t="shared" si="32"/>
        <v>0.47907499999999997</v>
      </c>
      <c r="S183" s="93">
        <v>0</v>
      </c>
      <c r="T183" s="94">
        <f t="shared" si="33"/>
        <v>0</v>
      </c>
      <c r="V183" s="120" t="s">
        <v>948</v>
      </c>
      <c r="AR183" s="95" t="s">
        <v>93</v>
      </c>
      <c r="AT183" s="95" t="s">
        <v>90</v>
      </c>
      <c r="AU183" s="95" t="s">
        <v>94</v>
      </c>
      <c r="AY183" s="7" t="s">
        <v>88</v>
      </c>
      <c r="BE183" s="96">
        <f t="shared" si="34"/>
        <v>0</v>
      </c>
      <c r="BF183" s="96">
        <f t="shared" si="35"/>
        <v>0</v>
      </c>
      <c r="BG183" s="96">
        <f t="shared" si="36"/>
        <v>0</v>
      </c>
      <c r="BH183" s="96">
        <f t="shared" si="37"/>
        <v>0</v>
      </c>
      <c r="BI183" s="96">
        <f t="shared" si="38"/>
        <v>0</v>
      </c>
      <c r="BJ183" s="7" t="s">
        <v>94</v>
      </c>
      <c r="BK183" s="96">
        <f t="shared" si="39"/>
        <v>0</v>
      </c>
      <c r="BL183" s="7" t="s">
        <v>93</v>
      </c>
      <c r="BM183" s="95" t="s">
        <v>216</v>
      </c>
    </row>
    <row r="184" spans="2:65" s="1" customFormat="1" ht="24.2" customHeight="1">
      <c r="B184" s="83"/>
      <c r="C184" s="84">
        <v>38</v>
      </c>
      <c r="D184" s="84" t="s">
        <v>90</v>
      </c>
      <c r="E184" s="85" t="s">
        <v>217</v>
      </c>
      <c r="F184" s="86" t="s">
        <v>218</v>
      </c>
      <c r="G184" s="87" t="s">
        <v>135</v>
      </c>
      <c r="H184" s="88">
        <f>H181*1.1</f>
        <v>937.32100000000014</v>
      </c>
      <c r="I184" s="89"/>
      <c r="J184" s="89">
        <f t="shared" si="30"/>
        <v>0</v>
      </c>
      <c r="K184" s="90"/>
      <c r="L184" s="15"/>
      <c r="M184" s="91" t="s">
        <v>0</v>
      </c>
      <c r="N184" s="92" t="s">
        <v>23</v>
      </c>
      <c r="O184" s="93">
        <v>0.14402000000000001</v>
      </c>
      <c r="P184" s="93">
        <f t="shared" si="31"/>
        <v>134.99297042000003</v>
      </c>
      <c r="Q184" s="93">
        <v>1.03E-4</v>
      </c>
      <c r="R184" s="93">
        <f t="shared" si="32"/>
        <v>9.6544063000000013E-2</v>
      </c>
      <c r="S184" s="93">
        <v>0</v>
      </c>
      <c r="T184" s="94">
        <f t="shared" si="33"/>
        <v>0</v>
      </c>
      <c r="V184" s="120" t="s">
        <v>948</v>
      </c>
      <c r="AR184" s="95" t="s">
        <v>93</v>
      </c>
      <c r="AT184" s="95" t="s">
        <v>90</v>
      </c>
      <c r="AU184" s="95" t="s">
        <v>94</v>
      </c>
      <c r="AY184" s="7" t="s">
        <v>88</v>
      </c>
      <c r="BE184" s="96">
        <f t="shared" si="34"/>
        <v>0</v>
      </c>
      <c r="BF184" s="96">
        <f t="shared" si="35"/>
        <v>0</v>
      </c>
      <c r="BG184" s="96">
        <f t="shared" si="36"/>
        <v>0</v>
      </c>
      <c r="BH184" s="96">
        <f t="shared" si="37"/>
        <v>0</v>
      </c>
      <c r="BI184" s="96">
        <f t="shared" si="38"/>
        <v>0</v>
      </c>
      <c r="BJ184" s="7" t="s">
        <v>94</v>
      </c>
      <c r="BK184" s="96">
        <f t="shared" si="39"/>
        <v>0</v>
      </c>
      <c r="BL184" s="7" t="s">
        <v>93</v>
      </c>
      <c r="BM184" s="95" t="s">
        <v>219</v>
      </c>
    </row>
    <row r="185" spans="2:65" s="1" customFormat="1" ht="24.2" customHeight="1">
      <c r="B185" s="83"/>
      <c r="C185" s="84">
        <v>39</v>
      </c>
      <c r="D185" s="84" t="s">
        <v>90</v>
      </c>
      <c r="E185" s="85" t="s">
        <v>220</v>
      </c>
      <c r="F185" s="86" t="s">
        <v>221</v>
      </c>
      <c r="G185" s="87" t="s">
        <v>135</v>
      </c>
      <c r="H185" s="88">
        <f>H184*1.1</f>
        <v>1031.0531000000003</v>
      </c>
      <c r="I185" s="89"/>
      <c r="J185" s="89">
        <f t="shared" si="30"/>
        <v>0</v>
      </c>
      <c r="K185" s="90"/>
      <c r="L185" s="15"/>
      <c r="M185" s="91" t="s">
        <v>0</v>
      </c>
      <c r="N185" s="92" t="s">
        <v>23</v>
      </c>
      <c r="O185" s="93">
        <v>0.20105999999999999</v>
      </c>
      <c r="P185" s="93">
        <f t="shared" si="31"/>
        <v>207.30353628600005</v>
      </c>
      <c r="Q185" s="93">
        <v>5.1539999999999997E-3</v>
      </c>
      <c r="R185" s="93">
        <f t="shared" si="32"/>
        <v>5.3140476774000014</v>
      </c>
      <c r="S185" s="93">
        <v>0</v>
      </c>
      <c r="T185" s="94">
        <f t="shared" si="33"/>
        <v>0</v>
      </c>
      <c r="V185" s="120" t="s">
        <v>948</v>
      </c>
      <c r="AR185" s="95" t="s">
        <v>93</v>
      </c>
      <c r="AT185" s="95" t="s">
        <v>90</v>
      </c>
      <c r="AU185" s="95" t="s">
        <v>94</v>
      </c>
      <c r="AY185" s="7" t="s">
        <v>88</v>
      </c>
      <c r="BE185" s="96">
        <f t="shared" si="34"/>
        <v>0</v>
      </c>
      <c r="BF185" s="96">
        <f t="shared" si="35"/>
        <v>0</v>
      </c>
      <c r="BG185" s="96">
        <f t="shared" si="36"/>
        <v>0</v>
      </c>
      <c r="BH185" s="96">
        <f t="shared" si="37"/>
        <v>0</v>
      </c>
      <c r="BI185" s="96">
        <f t="shared" si="38"/>
        <v>0</v>
      </c>
      <c r="BJ185" s="7" t="s">
        <v>94</v>
      </c>
      <c r="BK185" s="96">
        <f t="shared" si="39"/>
        <v>0</v>
      </c>
      <c r="BL185" s="7" t="s">
        <v>93</v>
      </c>
      <c r="BM185" s="95" t="s">
        <v>222</v>
      </c>
    </row>
    <row r="186" spans="2:65" s="1" customFormat="1" ht="44.25" customHeight="1">
      <c r="B186" s="83"/>
      <c r="C186" s="84">
        <v>40</v>
      </c>
      <c r="D186" s="84" t="s">
        <v>90</v>
      </c>
      <c r="E186" s="85" t="s">
        <v>223</v>
      </c>
      <c r="F186" s="86" t="s">
        <v>1004</v>
      </c>
      <c r="G186" s="87" t="s">
        <v>135</v>
      </c>
      <c r="H186" s="88">
        <f>H179*0.2</f>
        <v>170.42200000000003</v>
      </c>
      <c r="I186" s="89"/>
      <c r="J186" s="89">
        <f t="shared" si="30"/>
        <v>0</v>
      </c>
      <c r="K186" s="90"/>
      <c r="L186" s="15"/>
      <c r="M186" s="91" t="s">
        <v>0</v>
      </c>
      <c r="N186" s="92" t="s">
        <v>23</v>
      </c>
      <c r="O186" s="93">
        <v>0.19500000000000001</v>
      </c>
      <c r="P186" s="93">
        <f t="shared" si="31"/>
        <v>33.232290000000006</v>
      </c>
      <c r="Q186" s="93">
        <v>6.9999999999999999E-4</v>
      </c>
      <c r="R186" s="93">
        <f t="shared" si="32"/>
        <v>0.11929540000000001</v>
      </c>
      <c r="S186" s="93">
        <v>0</v>
      </c>
      <c r="T186" s="94">
        <f t="shared" si="33"/>
        <v>0</v>
      </c>
      <c r="V186" s="120" t="s">
        <v>948</v>
      </c>
      <c r="AR186" s="95" t="s">
        <v>93</v>
      </c>
      <c r="AT186" s="95" t="s">
        <v>90</v>
      </c>
      <c r="AU186" s="95" t="s">
        <v>94</v>
      </c>
      <c r="AY186" s="7" t="s">
        <v>88</v>
      </c>
      <c r="BE186" s="96">
        <f t="shared" si="34"/>
        <v>0</v>
      </c>
      <c r="BF186" s="96">
        <f t="shared" si="35"/>
        <v>0</v>
      </c>
      <c r="BG186" s="96">
        <f t="shared" si="36"/>
        <v>0</v>
      </c>
      <c r="BH186" s="96">
        <f t="shared" si="37"/>
        <v>0</v>
      </c>
      <c r="BI186" s="96">
        <f t="shared" si="38"/>
        <v>0</v>
      </c>
      <c r="BJ186" s="7" t="s">
        <v>94</v>
      </c>
      <c r="BK186" s="96">
        <f t="shared" si="39"/>
        <v>0</v>
      </c>
      <c r="BL186" s="7" t="s">
        <v>93</v>
      </c>
      <c r="BM186" s="95" t="s">
        <v>224</v>
      </c>
    </row>
    <row r="187" spans="2:65" s="1" customFormat="1" ht="24.2" customHeight="1">
      <c r="B187" s="83"/>
      <c r="C187" s="84">
        <v>41</v>
      </c>
      <c r="D187" s="84" t="s">
        <v>90</v>
      </c>
      <c r="E187" s="85" t="s">
        <v>225</v>
      </c>
      <c r="F187" s="86" t="s">
        <v>226</v>
      </c>
      <c r="G187" s="87" t="s">
        <v>135</v>
      </c>
      <c r="H187" s="88">
        <v>115.91</v>
      </c>
      <c r="I187" s="89"/>
      <c r="J187" s="89">
        <f t="shared" si="30"/>
        <v>0</v>
      </c>
      <c r="K187" s="90"/>
      <c r="L187" s="15"/>
      <c r="M187" s="91" t="s">
        <v>0</v>
      </c>
      <c r="N187" s="92" t="s">
        <v>23</v>
      </c>
      <c r="O187" s="93">
        <v>0.222</v>
      </c>
      <c r="P187" s="93">
        <f t="shared" si="31"/>
        <v>25.732019999999999</v>
      </c>
      <c r="Q187" s="93">
        <v>4.15E-3</v>
      </c>
      <c r="R187" s="93">
        <f t="shared" si="32"/>
        <v>0.48102649999999997</v>
      </c>
      <c r="S187" s="93">
        <v>0</v>
      </c>
      <c r="T187" s="94">
        <f t="shared" si="33"/>
        <v>0</v>
      </c>
      <c r="V187" s="120" t="s">
        <v>948</v>
      </c>
      <c r="AR187" s="95" t="s">
        <v>93</v>
      </c>
      <c r="AT187" s="95" t="s">
        <v>90</v>
      </c>
      <c r="AU187" s="95" t="s">
        <v>94</v>
      </c>
      <c r="AY187" s="7" t="s">
        <v>88</v>
      </c>
      <c r="BE187" s="96">
        <f t="shared" si="34"/>
        <v>0</v>
      </c>
      <c r="BF187" s="96">
        <f t="shared" si="35"/>
        <v>0</v>
      </c>
      <c r="BG187" s="96">
        <f t="shared" si="36"/>
        <v>0</v>
      </c>
      <c r="BH187" s="96">
        <f t="shared" si="37"/>
        <v>0</v>
      </c>
      <c r="BI187" s="96">
        <f t="shared" si="38"/>
        <v>0</v>
      </c>
      <c r="BJ187" s="7" t="s">
        <v>94</v>
      </c>
      <c r="BK187" s="96">
        <f t="shared" si="39"/>
        <v>0</v>
      </c>
      <c r="BL187" s="7" t="s">
        <v>93</v>
      </c>
      <c r="BM187" s="95" t="s">
        <v>227</v>
      </c>
    </row>
    <row r="188" spans="2:65" s="1" customFormat="1" ht="49.15" customHeight="1">
      <c r="B188" s="83"/>
      <c r="C188" s="84">
        <v>42</v>
      </c>
      <c r="D188" s="84" t="s">
        <v>90</v>
      </c>
      <c r="E188" s="85" t="s">
        <v>228</v>
      </c>
      <c r="F188" s="86" t="s">
        <v>1003</v>
      </c>
      <c r="G188" s="87" t="s">
        <v>135</v>
      </c>
      <c r="H188" s="88">
        <v>115.91</v>
      </c>
      <c r="I188" s="89"/>
      <c r="J188" s="89">
        <f t="shared" si="30"/>
        <v>0</v>
      </c>
      <c r="K188" s="90"/>
      <c r="L188" s="15"/>
      <c r="M188" s="91" t="s">
        <v>0</v>
      </c>
      <c r="N188" s="92" t="s">
        <v>23</v>
      </c>
      <c r="O188" s="93">
        <v>0.87338000000000005</v>
      </c>
      <c r="P188" s="93">
        <f t="shared" si="31"/>
        <v>101.23347580000001</v>
      </c>
      <c r="Q188" s="93">
        <v>1.5287E-2</v>
      </c>
      <c r="R188" s="93">
        <f t="shared" si="32"/>
        <v>1.7719161699999999</v>
      </c>
      <c r="S188" s="93">
        <v>0</v>
      </c>
      <c r="T188" s="94">
        <f t="shared" si="33"/>
        <v>0</v>
      </c>
      <c r="V188" s="120" t="s">
        <v>948</v>
      </c>
      <c r="AR188" s="95" t="s">
        <v>93</v>
      </c>
      <c r="AT188" s="95" t="s">
        <v>90</v>
      </c>
      <c r="AU188" s="95" t="s">
        <v>94</v>
      </c>
      <c r="AY188" s="7" t="s">
        <v>88</v>
      </c>
      <c r="BE188" s="96">
        <f t="shared" si="34"/>
        <v>0</v>
      </c>
      <c r="BF188" s="96">
        <f t="shared" si="35"/>
        <v>0</v>
      </c>
      <c r="BG188" s="96">
        <f t="shared" si="36"/>
        <v>0</v>
      </c>
      <c r="BH188" s="96">
        <f t="shared" si="37"/>
        <v>0</v>
      </c>
      <c r="BI188" s="96">
        <f t="shared" si="38"/>
        <v>0</v>
      </c>
      <c r="BJ188" s="7" t="s">
        <v>94</v>
      </c>
      <c r="BK188" s="96">
        <f t="shared" si="39"/>
        <v>0</v>
      </c>
      <c r="BL188" s="7" t="s">
        <v>93</v>
      </c>
      <c r="BM188" s="95" t="s">
        <v>229</v>
      </c>
    </row>
    <row r="189" spans="2:65" s="1" customFormat="1" ht="24.2" customHeight="1">
      <c r="B189" s="83"/>
      <c r="C189" s="84">
        <v>43</v>
      </c>
      <c r="D189" s="84" t="s">
        <v>90</v>
      </c>
      <c r="E189" s="85" t="s">
        <v>230</v>
      </c>
      <c r="F189" s="86" t="s">
        <v>964</v>
      </c>
      <c r="G189" s="87" t="s">
        <v>135</v>
      </c>
      <c r="H189" s="88">
        <f>H180</f>
        <v>852.11</v>
      </c>
      <c r="I189" s="89"/>
      <c r="J189" s="89">
        <f t="shared" si="30"/>
        <v>0</v>
      </c>
      <c r="K189" s="90"/>
      <c r="L189" s="15"/>
      <c r="M189" s="91" t="s">
        <v>0</v>
      </c>
      <c r="N189" s="92" t="s">
        <v>23</v>
      </c>
      <c r="O189" s="93">
        <v>0.91796</v>
      </c>
      <c r="P189" s="93">
        <f t="shared" si="31"/>
        <v>782.20289560000003</v>
      </c>
      <c r="Q189" s="93">
        <v>2.6856999999999999E-2</v>
      </c>
      <c r="R189" s="93">
        <f t="shared" si="32"/>
        <v>22.88511827</v>
      </c>
      <c r="S189" s="93">
        <v>0</v>
      </c>
      <c r="T189" s="94">
        <f t="shared" si="33"/>
        <v>0</v>
      </c>
      <c r="V189" s="120" t="s">
        <v>948</v>
      </c>
      <c r="AR189" s="95" t="s">
        <v>93</v>
      </c>
      <c r="AT189" s="95" t="s">
        <v>90</v>
      </c>
      <c r="AU189" s="95" t="s">
        <v>94</v>
      </c>
      <c r="AY189" s="7" t="s">
        <v>88</v>
      </c>
      <c r="BE189" s="96">
        <f t="shared" si="34"/>
        <v>0</v>
      </c>
      <c r="BF189" s="96">
        <f t="shared" si="35"/>
        <v>0</v>
      </c>
      <c r="BG189" s="96">
        <f t="shared" si="36"/>
        <v>0</v>
      </c>
      <c r="BH189" s="96">
        <f t="shared" si="37"/>
        <v>0</v>
      </c>
      <c r="BI189" s="96">
        <f t="shared" si="38"/>
        <v>0</v>
      </c>
      <c r="BJ189" s="7" t="s">
        <v>94</v>
      </c>
      <c r="BK189" s="96">
        <f t="shared" si="39"/>
        <v>0</v>
      </c>
      <c r="BL189" s="7" t="s">
        <v>93</v>
      </c>
      <c r="BM189" s="95" t="s">
        <v>231</v>
      </c>
    </row>
    <row r="190" spans="2:65" s="1" customFormat="1" ht="24.2" customHeight="1">
      <c r="B190" s="83"/>
      <c r="C190" s="84">
        <v>44</v>
      </c>
      <c r="D190" s="84" t="s">
        <v>90</v>
      </c>
      <c r="E190" s="85" t="s">
        <v>233</v>
      </c>
      <c r="F190" s="86" t="s">
        <v>234</v>
      </c>
      <c r="G190" s="87" t="s">
        <v>135</v>
      </c>
      <c r="H190" s="88">
        <f>0.2*936.07</f>
        <v>187.21400000000003</v>
      </c>
      <c r="I190" s="89"/>
      <c r="J190" s="89">
        <f t="shared" si="30"/>
        <v>0</v>
      </c>
      <c r="K190" s="90"/>
      <c r="L190" s="15"/>
      <c r="M190" s="91" t="s">
        <v>0</v>
      </c>
      <c r="N190" s="92" t="s">
        <v>23</v>
      </c>
      <c r="O190" s="93">
        <v>0.21331</v>
      </c>
      <c r="P190" s="93">
        <f t="shared" si="31"/>
        <v>39.934618340000007</v>
      </c>
      <c r="Q190" s="93">
        <v>8.6700000000000006E-3</v>
      </c>
      <c r="R190" s="93">
        <f t="shared" si="32"/>
        <v>1.6231453800000004</v>
      </c>
      <c r="S190" s="93">
        <v>0</v>
      </c>
      <c r="T190" s="94">
        <f t="shared" si="33"/>
        <v>0</v>
      </c>
      <c r="V190" s="127" t="s">
        <v>956</v>
      </c>
      <c r="AR190" s="95" t="s">
        <v>93</v>
      </c>
      <c r="AT190" s="95" t="s">
        <v>90</v>
      </c>
      <c r="AU190" s="95" t="s">
        <v>94</v>
      </c>
      <c r="AY190" s="7" t="s">
        <v>88</v>
      </c>
      <c r="BE190" s="96">
        <f t="shared" si="34"/>
        <v>0</v>
      </c>
      <c r="BF190" s="96">
        <f t="shared" si="35"/>
        <v>0</v>
      </c>
      <c r="BG190" s="96">
        <f t="shared" si="36"/>
        <v>0</v>
      </c>
      <c r="BH190" s="96">
        <f t="shared" si="37"/>
        <v>0</v>
      </c>
      <c r="BI190" s="96">
        <f t="shared" si="38"/>
        <v>0</v>
      </c>
      <c r="BJ190" s="7" t="s">
        <v>94</v>
      </c>
      <c r="BK190" s="96">
        <f t="shared" si="39"/>
        <v>0</v>
      </c>
      <c r="BL190" s="7" t="s">
        <v>93</v>
      </c>
      <c r="BM190" s="95" t="s">
        <v>235</v>
      </c>
    </row>
    <row r="191" spans="2:65" s="6" customFormat="1" ht="22.9" customHeight="1">
      <c r="B191" s="72"/>
      <c r="D191" s="73" t="s">
        <v>39</v>
      </c>
      <c r="E191" s="81" t="s">
        <v>123</v>
      </c>
      <c r="F191" s="81" t="s">
        <v>236</v>
      </c>
      <c r="J191" s="82">
        <f>SUM(J192:J232)</f>
        <v>0</v>
      </c>
      <c r="L191" s="72"/>
      <c r="M191" s="76"/>
      <c r="P191" s="77">
        <f>SUM(P192:P232)</f>
        <v>2342.9300314600009</v>
      </c>
      <c r="R191" s="77">
        <f>SUM(R192:R232)</f>
        <v>45.850833930240007</v>
      </c>
      <c r="T191" s="78">
        <f>SUM(T192:T232)</f>
        <v>155.77753999999999</v>
      </c>
      <c r="V191"/>
      <c r="AR191" s="73" t="s">
        <v>41</v>
      </c>
      <c r="AT191" s="79" t="s">
        <v>39</v>
      </c>
      <c r="AU191" s="79" t="s">
        <v>41</v>
      </c>
      <c r="AY191" s="73" t="s">
        <v>88</v>
      </c>
      <c r="BK191" s="80">
        <f>SUM(BK192:BK232)</f>
        <v>0</v>
      </c>
    </row>
    <row r="192" spans="2:65" s="1" customFormat="1" ht="33" customHeight="1">
      <c r="B192" s="83"/>
      <c r="C192" s="84">
        <v>45</v>
      </c>
      <c r="D192" s="84" t="s">
        <v>90</v>
      </c>
      <c r="E192" s="85" t="s">
        <v>237</v>
      </c>
      <c r="F192" s="86" t="s">
        <v>238</v>
      </c>
      <c r="G192" s="87" t="s">
        <v>135</v>
      </c>
      <c r="H192" s="88">
        <f>H179</f>
        <v>852.11</v>
      </c>
      <c r="I192" s="89"/>
      <c r="J192" s="89">
        <f t="shared" ref="J192:J212" si="40">ROUND(I192*H192,2)</f>
        <v>0</v>
      </c>
      <c r="K192" s="90"/>
      <c r="L192" s="15"/>
      <c r="M192" s="91" t="s">
        <v>0</v>
      </c>
      <c r="N192" s="92" t="s">
        <v>23</v>
      </c>
      <c r="O192" s="93">
        <v>0.14599999999999999</v>
      </c>
      <c r="P192" s="93">
        <f t="shared" ref="P192:P212" si="41">O192*H192</f>
        <v>124.40805999999999</v>
      </c>
      <c r="Q192" s="93">
        <v>2.5710569999999999E-2</v>
      </c>
      <c r="R192" s="93">
        <f t="shared" ref="R192:R212" si="42">Q192*H192</f>
        <v>21.9082338027</v>
      </c>
      <c r="S192" s="93">
        <v>0</v>
      </c>
      <c r="T192" s="94">
        <f t="shared" ref="T192:T212" si="43">S192*H192</f>
        <v>0</v>
      </c>
      <c r="V192" s="120" t="s">
        <v>948</v>
      </c>
      <c r="AR192" s="95" t="s">
        <v>93</v>
      </c>
      <c r="AT192" s="95" t="s">
        <v>90</v>
      </c>
      <c r="AU192" s="95" t="s">
        <v>94</v>
      </c>
      <c r="AY192" s="7" t="s">
        <v>88</v>
      </c>
      <c r="BE192" s="96">
        <f t="shared" ref="BE192:BE212" si="44">IF(N192="základná",J192,0)</f>
        <v>0</v>
      </c>
      <c r="BF192" s="96">
        <f t="shared" ref="BF192:BF212" si="45">IF(N192="znížená",J192,0)</f>
        <v>0</v>
      </c>
      <c r="BG192" s="96">
        <f t="shared" ref="BG192:BG212" si="46">IF(N192="zákl. prenesená",J192,0)</f>
        <v>0</v>
      </c>
      <c r="BH192" s="96">
        <f t="shared" ref="BH192:BH212" si="47">IF(N192="zníž. prenesená",J192,0)</f>
        <v>0</v>
      </c>
      <c r="BI192" s="96">
        <f t="shared" ref="BI192:BI212" si="48">IF(N192="nulová",J192,0)</f>
        <v>0</v>
      </c>
      <c r="BJ192" s="7" t="s">
        <v>94</v>
      </c>
      <c r="BK192" s="96">
        <f t="shared" ref="BK192:BK212" si="49">ROUND(I192*H192,2)</f>
        <v>0</v>
      </c>
      <c r="BL192" s="7" t="s">
        <v>93</v>
      </c>
      <c r="BM192" s="95" t="s">
        <v>239</v>
      </c>
    </row>
    <row r="193" spans="2:65" s="1" customFormat="1" ht="44.25" customHeight="1">
      <c r="B193" s="83"/>
      <c r="C193" s="84">
        <v>46</v>
      </c>
      <c r="D193" s="84" t="s">
        <v>90</v>
      </c>
      <c r="E193" s="85" t="s">
        <v>240</v>
      </c>
      <c r="F193" s="86" t="s">
        <v>241</v>
      </c>
      <c r="G193" s="87" t="s">
        <v>135</v>
      </c>
      <c r="H193" s="88">
        <f>H192*3</f>
        <v>2556.33</v>
      </c>
      <c r="I193" s="89"/>
      <c r="J193" s="89">
        <f t="shared" si="40"/>
        <v>0</v>
      </c>
      <c r="K193" s="90"/>
      <c r="L193" s="15"/>
      <c r="M193" s="91" t="s">
        <v>0</v>
      </c>
      <c r="N193" s="92" t="s">
        <v>23</v>
      </c>
      <c r="O193" s="93">
        <v>6.1999999999999998E-3</v>
      </c>
      <c r="P193" s="93">
        <f t="shared" si="41"/>
        <v>15.849245999999999</v>
      </c>
      <c r="Q193" s="93">
        <v>0</v>
      </c>
      <c r="R193" s="93">
        <f t="shared" si="42"/>
        <v>0</v>
      </c>
      <c r="S193" s="93">
        <v>0</v>
      </c>
      <c r="T193" s="94">
        <f t="shared" si="43"/>
        <v>0</v>
      </c>
      <c r="V193" s="120" t="s">
        <v>948</v>
      </c>
      <c r="AR193" s="95" t="s">
        <v>93</v>
      </c>
      <c r="AT193" s="95" t="s">
        <v>90</v>
      </c>
      <c r="AU193" s="95" t="s">
        <v>94</v>
      </c>
      <c r="AY193" s="7" t="s">
        <v>88</v>
      </c>
      <c r="BE193" s="96">
        <f t="shared" si="44"/>
        <v>0</v>
      </c>
      <c r="BF193" s="96">
        <f t="shared" si="45"/>
        <v>0</v>
      </c>
      <c r="BG193" s="96">
        <f t="shared" si="46"/>
        <v>0</v>
      </c>
      <c r="BH193" s="96">
        <f t="shared" si="47"/>
        <v>0</v>
      </c>
      <c r="BI193" s="96">
        <f t="shared" si="48"/>
        <v>0</v>
      </c>
      <c r="BJ193" s="7" t="s">
        <v>94</v>
      </c>
      <c r="BK193" s="96">
        <f t="shared" si="49"/>
        <v>0</v>
      </c>
      <c r="BL193" s="7" t="s">
        <v>93</v>
      </c>
      <c r="BM193" s="95" t="s">
        <v>242</v>
      </c>
    </row>
    <row r="194" spans="2:65" s="1" customFormat="1" ht="33" customHeight="1">
      <c r="B194" s="83"/>
      <c r="C194" s="84">
        <v>47</v>
      </c>
      <c r="D194" s="84" t="s">
        <v>90</v>
      </c>
      <c r="E194" s="85" t="s">
        <v>243</v>
      </c>
      <c r="F194" s="86" t="s">
        <v>244</v>
      </c>
      <c r="G194" s="87" t="s">
        <v>135</v>
      </c>
      <c r="H194" s="88">
        <f>H192</f>
        <v>852.11</v>
      </c>
      <c r="I194" s="89"/>
      <c r="J194" s="89">
        <f t="shared" si="40"/>
        <v>0</v>
      </c>
      <c r="K194" s="90"/>
      <c r="L194" s="15"/>
      <c r="M194" s="91" t="s">
        <v>0</v>
      </c>
      <c r="N194" s="92" t="s">
        <v>23</v>
      </c>
      <c r="O194" s="93">
        <v>0.104</v>
      </c>
      <c r="P194" s="93">
        <f t="shared" si="41"/>
        <v>88.619439999999997</v>
      </c>
      <c r="Q194" s="93">
        <v>2.571E-2</v>
      </c>
      <c r="R194" s="93">
        <f t="shared" si="42"/>
        <v>21.907748099999999</v>
      </c>
      <c r="S194" s="93">
        <v>0</v>
      </c>
      <c r="T194" s="94">
        <f t="shared" si="43"/>
        <v>0</v>
      </c>
      <c r="V194" s="120" t="s">
        <v>948</v>
      </c>
      <c r="AR194" s="95" t="s">
        <v>93</v>
      </c>
      <c r="AT194" s="95" t="s">
        <v>90</v>
      </c>
      <c r="AU194" s="95" t="s">
        <v>94</v>
      </c>
      <c r="AY194" s="7" t="s">
        <v>88</v>
      </c>
      <c r="BE194" s="96">
        <f t="shared" si="44"/>
        <v>0</v>
      </c>
      <c r="BF194" s="96">
        <f t="shared" si="45"/>
        <v>0</v>
      </c>
      <c r="BG194" s="96">
        <f t="shared" si="46"/>
        <v>0</v>
      </c>
      <c r="BH194" s="96">
        <f t="shared" si="47"/>
        <v>0</v>
      </c>
      <c r="BI194" s="96">
        <f t="shared" si="48"/>
        <v>0</v>
      </c>
      <c r="BJ194" s="7" t="s">
        <v>94</v>
      </c>
      <c r="BK194" s="96">
        <f t="shared" si="49"/>
        <v>0</v>
      </c>
      <c r="BL194" s="7" t="s">
        <v>93</v>
      </c>
      <c r="BM194" s="95" t="s">
        <v>245</v>
      </c>
    </row>
    <row r="195" spans="2:65" s="1" customFormat="1" ht="24.2" customHeight="1">
      <c r="B195" s="83"/>
      <c r="C195" s="84">
        <v>48</v>
      </c>
      <c r="D195" s="84" t="s">
        <v>90</v>
      </c>
      <c r="E195" s="85" t="s">
        <v>246</v>
      </c>
      <c r="F195" s="86" t="s">
        <v>247</v>
      </c>
      <c r="G195" s="87" t="s">
        <v>135</v>
      </c>
      <c r="H195" s="88">
        <f>186.425+60.174*3</f>
        <v>366.947</v>
      </c>
      <c r="I195" s="89"/>
      <c r="J195" s="89">
        <f t="shared" si="40"/>
        <v>0</v>
      </c>
      <c r="K195" s="90"/>
      <c r="L195" s="15"/>
      <c r="M195" s="91" t="s">
        <v>0</v>
      </c>
      <c r="N195" s="92" t="s">
        <v>23</v>
      </c>
      <c r="O195" s="93">
        <v>0.13827999999999999</v>
      </c>
      <c r="P195" s="93">
        <f t="shared" si="41"/>
        <v>50.741431159999998</v>
      </c>
      <c r="Q195" s="93">
        <v>1.92542E-3</v>
      </c>
      <c r="R195" s="93">
        <f t="shared" si="42"/>
        <v>0.70652709274000003</v>
      </c>
      <c r="S195" s="93">
        <v>0</v>
      </c>
      <c r="T195" s="94">
        <f t="shared" si="43"/>
        <v>0</v>
      </c>
      <c r="V195" s="120" t="s">
        <v>948</v>
      </c>
      <c r="AR195" s="95" t="s">
        <v>93</v>
      </c>
      <c r="AT195" s="95" t="s">
        <v>90</v>
      </c>
      <c r="AU195" s="95" t="s">
        <v>94</v>
      </c>
      <c r="AY195" s="7" t="s">
        <v>88</v>
      </c>
      <c r="BE195" s="96">
        <f t="shared" si="44"/>
        <v>0</v>
      </c>
      <c r="BF195" s="96">
        <f t="shared" si="45"/>
        <v>0</v>
      </c>
      <c r="BG195" s="96">
        <f t="shared" si="46"/>
        <v>0</v>
      </c>
      <c r="BH195" s="96">
        <f t="shared" si="47"/>
        <v>0</v>
      </c>
      <c r="BI195" s="96">
        <f t="shared" si="48"/>
        <v>0</v>
      </c>
      <c r="BJ195" s="7" t="s">
        <v>94</v>
      </c>
      <c r="BK195" s="96">
        <f t="shared" si="49"/>
        <v>0</v>
      </c>
      <c r="BL195" s="7" t="s">
        <v>93</v>
      </c>
      <c r="BM195" s="95" t="s">
        <v>248</v>
      </c>
    </row>
    <row r="196" spans="2:65" s="1" customFormat="1" ht="16.5" customHeight="1">
      <c r="B196" s="83"/>
      <c r="C196" s="84">
        <v>49</v>
      </c>
      <c r="D196" s="84" t="s">
        <v>90</v>
      </c>
      <c r="E196" s="85" t="s">
        <v>249</v>
      </c>
      <c r="F196" s="86" t="s">
        <v>250</v>
      </c>
      <c r="G196" s="87" t="s">
        <v>135</v>
      </c>
      <c r="H196" s="88">
        <f>H192</f>
        <v>852.11</v>
      </c>
      <c r="I196" s="89"/>
      <c r="J196" s="89">
        <f t="shared" si="40"/>
        <v>0</v>
      </c>
      <c r="K196" s="90"/>
      <c r="L196" s="15"/>
      <c r="M196" s="91" t="s">
        <v>0</v>
      </c>
      <c r="N196" s="92" t="s">
        <v>23</v>
      </c>
      <c r="O196" s="93">
        <v>4.0129999999999999E-2</v>
      </c>
      <c r="P196" s="93">
        <f t="shared" si="41"/>
        <v>34.195174299999998</v>
      </c>
      <c r="Q196" s="93">
        <v>5.4939999999999999E-5</v>
      </c>
      <c r="R196" s="93">
        <f t="shared" si="42"/>
        <v>4.68149234E-2</v>
      </c>
      <c r="S196" s="93">
        <v>0</v>
      </c>
      <c r="T196" s="94">
        <f t="shared" si="43"/>
        <v>0</v>
      </c>
      <c r="V196" s="120" t="s">
        <v>948</v>
      </c>
      <c r="AR196" s="95" t="s">
        <v>93</v>
      </c>
      <c r="AT196" s="95" t="s">
        <v>90</v>
      </c>
      <c r="AU196" s="95" t="s">
        <v>94</v>
      </c>
      <c r="AY196" s="7" t="s">
        <v>88</v>
      </c>
      <c r="BE196" s="96">
        <f t="shared" si="44"/>
        <v>0</v>
      </c>
      <c r="BF196" s="96">
        <f t="shared" si="45"/>
        <v>0</v>
      </c>
      <c r="BG196" s="96">
        <f t="shared" si="46"/>
        <v>0</v>
      </c>
      <c r="BH196" s="96">
        <f t="shared" si="47"/>
        <v>0</v>
      </c>
      <c r="BI196" s="96">
        <f t="shared" si="48"/>
        <v>0</v>
      </c>
      <c r="BJ196" s="7" t="s">
        <v>94</v>
      </c>
      <c r="BK196" s="96">
        <f t="shared" si="49"/>
        <v>0</v>
      </c>
      <c r="BL196" s="7" t="s">
        <v>93</v>
      </c>
      <c r="BM196" s="95" t="s">
        <v>251</v>
      </c>
    </row>
    <row r="197" spans="2:65" s="1" customFormat="1" ht="16.5" customHeight="1">
      <c r="B197" s="83"/>
      <c r="C197" s="84">
        <v>50</v>
      </c>
      <c r="D197" s="84" t="s">
        <v>90</v>
      </c>
      <c r="E197" s="85" t="s">
        <v>252</v>
      </c>
      <c r="F197" s="86" t="s">
        <v>253</v>
      </c>
      <c r="G197" s="87" t="s">
        <v>135</v>
      </c>
      <c r="H197" s="88">
        <f>H192</f>
        <v>852.11</v>
      </c>
      <c r="I197" s="89"/>
      <c r="J197" s="89">
        <f t="shared" si="40"/>
        <v>0</v>
      </c>
      <c r="K197" s="90"/>
      <c r="L197" s="15"/>
      <c r="M197" s="91" t="s">
        <v>0</v>
      </c>
      <c r="N197" s="92" t="s">
        <v>23</v>
      </c>
      <c r="O197" s="93">
        <v>0.04</v>
      </c>
      <c r="P197" s="93">
        <f t="shared" si="41"/>
        <v>34.084400000000002</v>
      </c>
      <c r="Q197" s="93">
        <v>0</v>
      </c>
      <c r="R197" s="93">
        <f t="shared" si="42"/>
        <v>0</v>
      </c>
      <c r="S197" s="93">
        <v>0</v>
      </c>
      <c r="T197" s="94">
        <f t="shared" si="43"/>
        <v>0</v>
      </c>
      <c r="V197" s="120" t="s">
        <v>948</v>
      </c>
      <c r="AR197" s="95" t="s">
        <v>93</v>
      </c>
      <c r="AT197" s="95" t="s">
        <v>90</v>
      </c>
      <c r="AU197" s="95" t="s">
        <v>94</v>
      </c>
      <c r="AY197" s="7" t="s">
        <v>88</v>
      </c>
      <c r="BE197" s="96">
        <f t="shared" si="44"/>
        <v>0</v>
      </c>
      <c r="BF197" s="96">
        <f t="shared" si="45"/>
        <v>0</v>
      </c>
      <c r="BG197" s="96">
        <f t="shared" si="46"/>
        <v>0</v>
      </c>
      <c r="BH197" s="96">
        <f t="shared" si="47"/>
        <v>0</v>
      </c>
      <c r="BI197" s="96">
        <f t="shared" si="48"/>
        <v>0</v>
      </c>
      <c r="BJ197" s="7" t="s">
        <v>94</v>
      </c>
      <c r="BK197" s="96">
        <f t="shared" si="49"/>
        <v>0</v>
      </c>
      <c r="BL197" s="7" t="s">
        <v>93</v>
      </c>
      <c r="BM197" s="95" t="s">
        <v>254</v>
      </c>
    </row>
    <row r="198" spans="2:65" s="1" customFormat="1" ht="16.5" customHeight="1">
      <c r="B198" s="83"/>
      <c r="C198" s="84">
        <v>51</v>
      </c>
      <c r="D198" s="84" t="s">
        <v>90</v>
      </c>
      <c r="E198" s="85" t="s">
        <v>255</v>
      </c>
      <c r="F198" s="86" t="s">
        <v>256</v>
      </c>
      <c r="G198" s="87" t="s">
        <v>135</v>
      </c>
      <c r="H198" s="88">
        <v>1289.02</v>
      </c>
      <c r="I198" s="89"/>
      <c r="J198" s="89">
        <f t="shared" si="40"/>
        <v>0</v>
      </c>
      <c r="K198" s="90"/>
      <c r="L198" s="15"/>
      <c r="M198" s="91" t="s">
        <v>0</v>
      </c>
      <c r="N198" s="92" t="s">
        <v>23</v>
      </c>
      <c r="O198" s="93">
        <v>0.32401000000000002</v>
      </c>
      <c r="P198" s="93">
        <f t="shared" si="41"/>
        <v>417.65537019999999</v>
      </c>
      <c r="Q198" s="93">
        <v>4.8999999999999998E-5</v>
      </c>
      <c r="R198" s="93">
        <f t="shared" si="42"/>
        <v>6.3161979999999993E-2</v>
      </c>
      <c r="S198" s="93">
        <v>0</v>
      </c>
      <c r="T198" s="94">
        <f t="shared" si="43"/>
        <v>0</v>
      </c>
      <c r="V198" s="120" t="s">
        <v>948</v>
      </c>
      <c r="AR198" s="95" t="s">
        <v>93</v>
      </c>
      <c r="AT198" s="95" t="s">
        <v>90</v>
      </c>
      <c r="AU198" s="95" t="s">
        <v>94</v>
      </c>
      <c r="AY198" s="7" t="s">
        <v>88</v>
      </c>
      <c r="BE198" s="96">
        <f t="shared" si="44"/>
        <v>0</v>
      </c>
      <c r="BF198" s="96">
        <f t="shared" si="45"/>
        <v>0</v>
      </c>
      <c r="BG198" s="96">
        <f t="shared" si="46"/>
        <v>0</v>
      </c>
      <c r="BH198" s="96">
        <f t="shared" si="47"/>
        <v>0</v>
      </c>
      <c r="BI198" s="96">
        <f t="shared" si="48"/>
        <v>0</v>
      </c>
      <c r="BJ198" s="7" t="s">
        <v>94</v>
      </c>
      <c r="BK198" s="96">
        <f t="shared" si="49"/>
        <v>0</v>
      </c>
      <c r="BL198" s="7" t="s">
        <v>93</v>
      </c>
      <c r="BM198" s="95" t="s">
        <v>257</v>
      </c>
    </row>
    <row r="199" spans="2:65" s="1" customFormat="1" ht="24.2" customHeight="1">
      <c r="B199" s="83"/>
      <c r="C199" s="84">
        <v>52</v>
      </c>
      <c r="D199" s="84" t="s">
        <v>90</v>
      </c>
      <c r="E199" s="85" t="s">
        <v>258</v>
      </c>
      <c r="F199" s="86" t="s">
        <v>259</v>
      </c>
      <c r="G199" s="87" t="s">
        <v>135</v>
      </c>
      <c r="H199" s="88">
        <f>H192</f>
        <v>852.11</v>
      </c>
      <c r="I199" s="89"/>
      <c r="J199" s="89">
        <f t="shared" si="40"/>
        <v>0</v>
      </c>
      <c r="K199" s="90"/>
      <c r="L199" s="15"/>
      <c r="M199" s="91" t="s">
        <v>0</v>
      </c>
      <c r="N199" s="92" t="s">
        <v>23</v>
      </c>
      <c r="O199" s="93">
        <v>8.9599999999999999E-2</v>
      </c>
      <c r="P199" s="93">
        <f t="shared" si="41"/>
        <v>76.349056000000004</v>
      </c>
      <c r="Q199" s="93">
        <v>0</v>
      </c>
      <c r="R199" s="93">
        <f t="shared" si="42"/>
        <v>0</v>
      </c>
      <c r="S199" s="93">
        <v>0</v>
      </c>
      <c r="T199" s="94">
        <f t="shared" si="43"/>
        <v>0</v>
      </c>
      <c r="V199" s="120" t="s">
        <v>948</v>
      </c>
      <c r="AR199" s="95" t="s">
        <v>93</v>
      </c>
      <c r="AT199" s="95" t="s">
        <v>90</v>
      </c>
      <c r="AU199" s="95" t="s">
        <v>94</v>
      </c>
      <c r="AY199" s="7" t="s">
        <v>88</v>
      </c>
      <c r="BE199" s="96">
        <f t="shared" si="44"/>
        <v>0</v>
      </c>
      <c r="BF199" s="96">
        <f t="shared" si="45"/>
        <v>0</v>
      </c>
      <c r="BG199" s="96">
        <f t="shared" si="46"/>
        <v>0</v>
      </c>
      <c r="BH199" s="96">
        <f t="shared" si="47"/>
        <v>0</v>
      </c>
      <c r="BI199" s="96">
        <f t="shared" si="48"/>
        <v>0</v>
      </c>
      <c r="BJ199" s="7" t="s">
        <v>94</v>
      </c>
      <c r="BK199" s="96">
        <f t="shared" si="49"/>
        <v>0</v>
      </c>
      <c r="BL199" s="7" t="s">
        <v>93</v>
      </c>
      <c r="BM199" s="95" t="s">
        <v>260</v>
      </c>
    </row>
    <row r="200" spans="2:65" s="1" customFormat="1" ht="24.2" customHeight="1">
      <c r="B200" s="83"/>
      <c r="C200" s="84">
        <v>53</v>
      </c>
      <c r="D200" s="84" t="s">
        <v>90</v>
      </c>
      <c r="E200" s="85" t="s">
        <v>261</v>
      </c>
      <c r="F200" s="86" t="s">
        <v>262</v>
      </c>
      <c r="G200" s="87" t="s">
        <v>145</v>
      </c>
      <c r="H200" s="88">
        <f>H201</f>
        <v>191.63</v>
      </c>
      <c r="I200" s="89"/>
      <c r="J200" s="89">
        <f t="shared" si="40"/>
        <v>0</v>
      </c>
      <c r="K200" s="90"/>
      <c r="L200" s="15"/>
      <c r="M200" s="91" t="s">
        <v>0</v>
      </c>
      <c r="N200" s="92" t="s">
        <v>23</v>
      </c>
      <c r="O200" s="93">
        <v>0.94274999999999998</v>
      </c>
      <c r="P200" s="93">
        <f t="shared" si="41"/>
        <v>180.65918249999999</v>
      </c>
      <c r="Q200" s="93">
        <v>2.6866199999999998E-3</v>
      </c>
      <c r="R200" s="93">
        <f t="shared" si="42"/>
        <v>0.51483699059999999</v>
      </c>
      <c r="S200" s="93">
        <v>0</v>
      </c>
      <c r="T200" s="94">
        <f t="shared" si="43"/>
        <v>0</v>
      </c>
      <c r="V200" s="120" t="s">
        <v>948</v>
      </c>
      <c r="AR200" s="95" t="s">
        <v>93</v>
      </c>
      <c r="AT200" s="95" t="s">
        <v>90</v>
      </c>
      <c r="AU200" s="95" t="s">
        <v>94</v>
      </c>
      <c r="AY200" s="7" t="s">
        <v>88</v>
      </c>
      <c r="BE200" s="96">
        <f t="shared" si="44"/>
        <v>0</v>
      </c>
      <c r="BF200" s="96">
        <f t="shared" si="45"/>
        <v>0</v>
      </c>
      <c r="BG200" s="96">
        <f t="shared" si="46"/>
        <v>0</v>
      </c>
      <c r="BH200" s="96">
        <f t="shared" si="47"/>
        <v>0</v>
      </c>
      <c r="BI200" s="96">
        <f t="shared" si="48"/>
        <v>0</v>
      </c>
      <c r="BJ200" s="7" t="s">
        <v>94</v>
      </c>
      <c r="BK200" s="96">
        <f t="shared" si="49"/>
        <v>0</v>
      </c>
      <c r="BL200" s="7" t="s">
        <v>93</v>
      </c>
      <c r="BM200" s="95" t="s">
        <v>263</v>
      </c>
    </row>
    <row r="201" spans="2:65" s="1" customFormat="1" ht="37.9" customHeight="1">
      <c r="B201" s="83"/>
      <c r="C201" s="97">
        <v>54</v>
      </c>
      <c r="D201" s="97" t="s">
        <v>138</v>
      </c>
      <c r="E201" s="98" t="s">
        <v>264</v>
      </c>
      <c r="F201" s="99" t="s">
        <v>966</v>
      </c>
      <c r="G201" s="100" t="s">
        <v>135</v>
      </c>
      <c r="H201" s="101">
        <f>H183</f>
        <v>191.63</v>
      </c>
      <c r="I201" s="102"/>
      <c r="J201" s="102">
        <f t="shared" si="40"/>
        <v>0</v>
      </c>
      <c r="K201" s="103"/>
      <c r="L201" s="15"/>
      <c r="M201" s="105" t="s">
        <v>0</v>
      </c>
      <c r="N201" s="106" t="s">
        <v>23</v>
      </c>
      <c r="O201" s="93">
        <v>0</v>
      </c>
      <c r="P201" s="93">
        <f t="shared" si="41"/>
        <v>0</v>
      </c>
      <c r="Q201" s="93">
        <v>3.5599999999999998E-3</v>
      </c>
      <c r="R201" s="93">
        <f t="shared" si="42"/>
        <v>0.6822028</v>
      </c>
      <c r="S201" s="93">
        <v>0</v>
      </c>
      <c r="T201" s="94">
        <f t="shared" si="43"/>
        <v>0</v>
      </c>
      <c r="V201" s="120" t="s">
        <v>948</v>
      </c>
      <c r="AR201" s="95" t="s">
        <v>118</v>
      </c>
      <c r="AT201" s="95" t="s">
        <v>138</v>
      </c>
      <c r="AU201" s="95" t="s">
        <v>94</v>
      </c>
      <c r="AY201" s="7" t="s">
        <v>88</v>
      </c>
      <c r="BE201" s="96">
        <f t="shared" si="44"/>
        <v>0</v>
      </c>
      <c r="BF201" s="96">
        <f t="shared" si="45"/>
        <v>0</v>
      </c>
      <c r="BG201" s="96">
        <f t="shared" si="46"/>
        <v>0</v>
      </c>
      <c r="BH201" s="96">
        <f t="shared" si="47"/>
        <v>0</v>
      </c>
      <c r="BI201" s="96">
        <f t="shared" si="48"/>
        <v>0</v>
      </c>
      <c r="BJ201" s="7" t="s">
        <v>94</v>
      </c>
      <c r="BK201" s="96">
        <f t="shared" si="49"/>
        <v>0</v>
      </c>
      <c r="BL201" s="7" t="s">
        <v>93</v>
      </c>
      <c r="BM201" s="95" t="s">
        <v>265</v>
      </c>
    </row>
    <row r="202" spans="2:65" s="1" customFormat="1" ht="37.9" customHeight="1">
      <c r="B202" s="83"/>
      <c r="C202" s="84">
        <v>55</v>
      </c>
      <c r="D202" s="84" t="s">
        <v>90</v>
      </c>
      <c r="E202" s="85" t="s">
        <v>266</v>
      </c>
      <c r="F202" s="86" t="s">
        <v>267</v>
      </c>
      <c r="G202" s="87" t="s">
        <v>160</v>
      </c>
      <c r="H202" s="88">
        <v>48</v>
      </c>
      <c r="I202" s="89"/>
      <c r="J202" s="89">
        <f t="shared" si="40"/>
        <v>0</v>
      </c>
      <c r="K202" s="90"/>
      <c r="L202" s="15"/>
      <c r="M202" s="91" t="s">
        <v>0</v>
      </c>
      <c r="N202" s="92" t="s">
        <v>23</v>
      </c>
      <c r="O202" s="93">
        <v>0.17891000000000001</v>
      </c>
      <c r="P202" s="93">
        <f t="shared" si="41"/>
        <v>8.5876800000000006</v>
      </c>
      <c r="Q202" s="93">
        <v>3.2445E-4</v>
      </c>
      <c r="R202" s="93">
        <f t="shared" si="42"/>
        <v>1.55736E-2</v>
      </c>
      <c r="S202" s="93">
        <v>0</v>
      </c>
      <c r="T202" s="94">
        <f t="shared" si="43"/>
        <v>0</v>
      </c>
      <c r="V202" s="120" t="s">
        <v>948</v>
      </c>
      <c r="AR202" s="95" t="s">
        <v>93</v>
      </c>
      <c r="AT202" s="95" t="s">
        <v>90</v>
      </c>
      <c r="AU202" s="95" t="s">
        <v>94</v>
      </c>
      <c r="AY202" s="7" t="s">
        <v>88</v>
      </c>
      <c r="BE202" s="96">
        <f t="shared" si="44"/>
        <v>0</v>
      </c>
      <c r="BF202" s="96">
        <f t="shared" si="45"/>
        <v>0</v>
      </c>
      <c r="BG202" s="96">
        <f t="shared" si="46"/>
        <v>0</v>
      </c>
      <c r="BH202" s="96">
        <f t="shared" si="47"/>
        <v>0</v>
      </c>
      <c r="BI202" s="96">
        <f t="shared" si="48"/>
        <v>0</v>
      </c>
      <c r="BJ202" s="7" t="s">
        <v>94</v>
      </c>
      <c r="BK202" s="96">
        <f t="shared" si="49"/>
        <v>0</v>
      </c>
      <c r="BL202" s="7" t="s">
        <v>93</v>
      </c>
      <c r="BM202" s="95" t="s">
        <v>268</v>
      </c>
    </row>
    <row r="203" spans="2:65" s="1" customFormat="1" ht="33" customHeight="1">
      <c r="B203" s="83"/>
      <c r="C203" s="84">
        <v>56</v>
      </c>
      <c r="D203" s="84" t="s">
        <v>90</v>
      </c>
      <c r="E203" s="85" t="s">
        <v>269</v>
      </c>
      <c r="F203" s="86" t="s">
        <v>270</v>
      </c>
      <c r="G203" s="87" t="s">
        <v>92</v>
      </c>
      <c r="H203" s="88">
        <v>9.9</v>
      </c>
      <c r="I203" s="89"/>
      <c r="J203" s="89">
        <f t="shared" si="40"/>
        <v>0</v>
      </c>
      <c r="K203" s="90"/>
      <c r="L203" s="15"/>
      <c r="M203" s="91" t="s">
        <v>0</v>
      </c>
      <c r="N203" s="92" t="s">
        <v>23</v>
      </c>
      <c r="O203" s="93">
        <v>12.606</v>
      </c>
      <c r="P203" s="93">
        <f t="shared" si="41"/>
        <v>124.79940000000001</v>
      </c>
      <c r="Q203" s="93">
        <v>0</v>
      </c>
      <c r="R203" s="93">
        <f t="shared" si="42"/>
        <v>0</v>
      </c>
      <c r="S203" s="93">
        <v>2.4</v>
      </c>
      <c r="T203" s="94">
        <f t="shared" si="43"/>
        <v>23.76</v>
      </c>
      <c r="V203" s="121" t="s">
        <v>957</v>
      </c>
      <c r="AR203" s="95" t="s">
        <v>93</v>
      </c>
      <c r="AT203" s="95" t="s">
        <v>90</v>
      </c>
      <c r="AU203" s="95" t="s">
        <v>94</v>
      </c>
      <c r="AY203" s="7" t="s">
        <v>88</v>
      </c>
      <c r="BE203" s="96">
        <f t="shared" si="44"/>
        <v>0</v>
      </c>
      <c r="BF203" s="96">
        <f t="shared" si="45"/>
        <v>0</v>
      </c>
      <c r="BG203" s="96">
        <f t="shared" si="46"/>
        <v>0</v>
      </c>
      <c r="BH203" s="96">
        <f t="shared" si="47"/>
        <v>0</v>
      </c>
      <c r="BI203" s="96">
        <f t="shared" si="48"/>
        <v>0</v>
      </c>
      <c r="BJ203" s="7" t="s">
        <v>94</v>
      </c>
      <c r="BK203" s="96">
        <f t="shared" si="49"/>
        <v>0</v>
      </c>
      <c r="BL203" s="7" t="s">
        <v>93</v>
      </c>
      <c r="BM203" s="95" t="s">
        <v>271</v>
      </c>
    </row>
    <row r="204" spans="2:65" s="1" customFormat="1" ht="37.9" customHeight="1">
      <c r="B204" s="83"/>
      <c r="C204" s="84">
        <v>57</v>
      </c>
      <c r="D204" s="84" t="s">
        <v>90</v>
      </c>
      <c r="E204" s="85" t="s">
        <v>272</v>
      </c>
      <c r="F204" s="86" t="s">
        <v>273</v>
      </c>
      <c r="G204" s="87" t="s">
        <v>135</v>
      </c>
      <c r="H204" s="88">
        <v>35</v>
      </c>
      <c r="I204" s="89"/>
      <c r="J204" s="89">
        <f t="shared" si="40"/>
        <v>0</v>
      </c>
      <c r="K204" s="90"/>
      <c r="L204" s="15"/>
      <c r="M204" s="91" t="s">
        <v>0</v>
      </c>
      <c r="N204" s="92" t="s">
        <v>23</v>
      </c>
      <c r="O204" s="93">
        <v>0.16400000000000001</v>
      </c>
      <c r="P204" s="93">
        <f t="shared" si="41"/>
        <v>5.74</v>
      </c>
      <c r="Q204" s="93">
        <v>0</v>
      </c>
      <c r="R204" s="93">
        <f t="shared" si="42"/>
        <v>0</v>
      </c>
      <c r="S204" s="93">
        <v>0.19600000000000001</v>
      </c>
      <c r="T204" s="94">
        <f t="shared" si="43"/>
        <v>6.86</v>
      </c>
      <c r="V204" s="121" t="s">
        <v>957</v>
      </c>
      <c r="AR204" s="95" t="s">
        <v>93</v>
      </c>
      <c r="AT204" s="95" t="s">
        <v>90</v>
      </c>
      <c r="AU204" s="95" t="s">
        <v>94</v>
      </c>
      <c r="AY204" s="7" t="s">
        <v>88</v>
      </c>
      <c r="BE204" s="96">
        <f t="shared" si="44"/>
        <v>0</v>
      </c>
      <c r="BF204" s="96">
        <f t="shared" si="45"/>
        <v>0</v>
      </c>
      <c r="BG204" s="96">
        <f t="shared" si="46"/>
        <v>0</v>
      </c>
      <c r="BH204" s="96">
        <f t="shared" si="47"/>
        <v>0</v>
      </c>
      <c r="BI204" s="96">
        <f t="shared" si="48"/>
        <v>0</v>
      </c>
      <c r="BJ204" s="7" t="s">
        <v>94</v>
      </c>
      <c r="BK204" s="96">
        <f t="shared" si="49"/>
        <v>0</v>
      </c>
      <c r="BL204" s="7" t="s">
        <v>93</v>
      </c>
      <c r="BM204" s="95" t="s">
        <v>274</v>
      </c>
    </row>
    <row r="205" spans="2:65" s="1" customFormat="1" ht="44.25" customHeight="1">
      <c r="B205" s="83"/>
      <c r="C205" s="84">
        <v>58</v>
      </c>
      <c r="D205" s="84" t="s">
        <v>90</v>
      </c>
      <c r="E205" s="85" t="s">
        <v>275</v>
      </c>
      <c r="F205" s="86" t="s">
        <v>276</v>
      </c>
      <c r="G205" s="87" t="s">
        <v>92</v>
      </c>
      <c r="H205" s="88">
        <v>12</v>
      </c>
      <c r="I205" s="89"/>
      <c r="J205" s="89">
        <f t="shared" si="40"/>
        <v>0</v>
      </c>
      <c r="K205" s="90"/>
      <c r="L205" s="15"/>
      <c r="M205" s="91" t="s">
        <v>0</v>
      </c>
      <c r="N205" s="92" t="s">
        <v>23</v>
      </c>
      <c r="O205" s="93">
        <v>1.4550000000000001</v>
      </c>
      <c r="P205" s="93">
        <f t="shared" si="41"/>
        <v>17.46</v>
      </c>
      <c r="Q205" s="93">
        <v>0</v>
      </c>
      <c r="R205" s="93">
        <f t="shared" si="42"/>
        <v>0</v>
      </c>
      <c r="S205" s="93">
        <v>1.905</v>
      </c>
      <c r="T205" s="94">
        <f t="shared" si="43"/>
        <v>22.86</v>
      </c>
      <c r="V205" s="121" t="s">
        <v>957</v>
      </c>
      <c r="AR205" s="95" t="s">
        <v>93</v>
      </c>
      <c r="AT205" s="95" t="s">
        <v>90</v>
      </c>
      <c r="AU205" s="95" t="s">
        <v>94</v>
      </c>
      <c r="AY205" s="7" t="s">
        <v>88</v>
      </c>
      <c r="BE205" s="96">
        <f t="shared" si="44"/>
        <v>0</v>
      </c>
      <c r="BF205" s="96">
        <f t="shared" si="45"/>
        <v>0</v>
      </c>
      <c r="BG205" s="96">
        <f t="shared" si="46"/>
        <v>0</v>
      </c>
      <c r="BH205" s="96">
        <f t="shared" si="47"/>
        <v>0</v>
      </c>
      <c r="BI205" s="96">
        <f t="shared" si="48"/>
        <v>0</v>
      </c>
      <c r="BJ205" s="7" t="s">
        <v>94</v>
      </c>
      <c r="BK205" s="96">
        <f t="shared" si="49"/>
        <v>0</v>
      </c>
      <c r="BL205" s="7" t="s">
        <v>93</v>
      </c>
      <c r="BM205" s="95" t="s">
        <v>277</v>
      </c>
    </row>
    <row r="206" spans="2:65" s="1" customFormat="1" ht="24.2" customHeight="1">
      <c r="B206" s="83"/>
      <c r="C206" s="84">
        <v>59</v>
      </c>
      <c r="D206" s="84" t="s">
        <v>90</v>
      </c>
      <c r="E206" s="85" t="s">
        <v>278</v>
      </c>
      <c r="F206" s="86" t="s">
        <v>279</v>
      </c>
      <c r="G206" s="87" t="s">
        <v>135</v>
      </c>
      <c r="H206" s="88">
        <f>43.33+42.02+4.69</f>
        <v>90.039999999999992</v>
      </c>
      <c r="I206" s="89"/>
      <c r="J206" s="89">
        <f t="shared" si="40"/>
        <v>0</v>
      </c>
      <c r="K206" s="90"/>
      <c r="L206" s="15"/>
      <c r="M206" s="91" t="s">
        <v>0</v>
      </c>
      <c r="N206" s="92" t="s">
        <v>23</v>
      </c>
      <c r="O206" s="93">
        <v>0.307</v>
      </c>
      <c r="P206" s="93">
        <f t="shared" si="41"/>
        <v>27.642279999999996</v>
      </c>
      <c r="Q206" s="93">
        <v>1.102E-5</v>
      </c>
      <c r="R206" s="93">
        <f t="shared" si="42"/>
        <v>9.9224079999999997E-4</v>
      </c>
      <c r="S206" s="93">
        <v>6.0000000000000001E-3</v>
      </c>
      <c r="T206" s="94">
        <f t="shared" si="43"/>
        <v>0.54023999999999994</v>
      </c>
      <c r="V206" s="127" t="s">
        <v>956</v>
      </c>
      <c r="AR206" s="95" t="s">
        <v>93</v>
      </c>
      <c r="AT206" s="95" t="s">
        <v>90</v>
      </c>
      <c r="AU206" s="95" t="s">
        <v>94</v>
      </c>
      <c r="AY206" s="7" t="s">
        <v>88</v>
      </c>
      <c r="BE206" s="96">
        <f t="shared" si="44"/>
        <v>0</v>
      </c>
      <c r="BF206" s="96">
        <f t="shared" si="45"/>
        <v>0</v>
      </c>
      <c r="BG206" s="96">
        <f t="shared" si="46"/>
        <v>0</v>
      </c>
      <c r="BH206" s="96">
        <f t="shared" si="47"/>
        <v>0</v>
      </c>
      <c r="BI206" s="96">
        <f t="shared" si="48"/>
        <v>0</v>
      </c>
      <c r="BJ206" s="7" t="s">
        <v>94</v>
      </c>
      <c r="BK206" s="96">
        <f t="shared" si="49"/>
        <v>0</v>
      </c>
      <c r="BL206" s="7" t="s">
        <v>93</v>
      </c>
      <c r="BM206" s="95" t="s">
        <v>280</v>
      </c>
    </row>
    <row r="207" spans="2:65" s="1" customFormat="1" ht="24.2" customHeight="1">
      <c r="B207" s="83"/>
      <c r="C207" s="84">
        <v>60</v>
      </c>
      <c r="D207" s="84" t="s">
        <v>90</v>
      </c>
      <c r="E207" s="85" t="s">
        <v>281</v>
      </c>
      <c r="F207" s="86" t="s">
        <v>282</v>
      </c>
      <c r="G207" s="87" t="s">
        <v>135</v>
      </c>
      <c r="H207" s="88">
        <v>287.37</v>
      </c>
      <c r="I207" s="89"/>
      <c r="J207" s="89">
        <f t="shared" si="40"/>
        <v>0</v>
      </c>
      <c r="K207" s="90"/>
      <c r="L207" s="15"/>
      <c r="M207" s="91" t="s">
        <v>0</v>
      </c>
      <c r="N207" s="92" t="s">
        <v>23</v>
      </c>
      <c r="O207" s="93">
        <v>0.16600000000000001</v>
      </c>
      <c r="P207" s="93">
        <f t="shared" si="41"/>
        <v>47.703420000000001</v>
      </c>
      <c r="Q207" s="93">
        <v>0</v>
      </c>
      <c r="R207" s="93">
        <f t="shared" si="42"/>
        <v>0</v>
      </c>
      <c r="S207" s="93">
        <v>0.02</v>
      </c>
      <c r="T207" s="94">
        <f t="shared" si="43"/>
        <v>5.7473999999999998</v>
      </c>
      <c r="V207" s="127" t="s">
        <v>956</v>
      </c>
      <c r="AR207" s="95" t="s">
        <v>93</v>
      </c>
      <c r="AT207" s="95" t="s">
        <v>90</v>
      </c>
      <c r="AU207" s="95" t="s">
        <v>94</v>
      </c>
      <c r="AY207" s="7" t="s">
        <v>88</v>
      </c>
      <c r="BE207" s="96">
        <f t="shared" si="44"/>
        <v>0</v>
      </c>
      <c r="BF207" s="96">
        <f t="shared" si="45"/>
        <v>0</v>
      </c>
      <c r="BG207" s="96">
        <f t="shared" si="46"/>
        <v>0</v>
      </c>
      <c r="BH207" s="96">
        <f t="shared" si="47"/>
        <v>0</v>
      </c>
      <c r="BI207" s="96">
        <f t="shared" si="48"/>
        <v>0</v>
      </c>
      <c r="BJ207" s="7" t="s">
        <v>94</v>
      </c>
      <c r="BK207" s="96">
        <f t="shared" si="49"/>
        <v>0</v>
      </c>
      <c r="BL207" s="7" t="s">
        <v>93</v>
      </c>
      <c r="BM207" s="95" t="s">
        <v>283</v>
      </c>
    </row>
    <row r="208" spans="2:65" s="1" customFormat="1" ht="21.75" customHeight="1">
      <c r="B208" s="83"/>
      <c r="C208" s="84">
        <v>61</v>
      </c>
      <c r="D208" s="84" t="s">
        <v>90</v>
      </c>
      <c r="E208" s="85" t="s">
        <v>284</v>
      </c>
      <c r="F208" s="86" t="s">
        <v>285</v>
      </c>
      <c r="G208" s="87" t="s">
        <v>135</v>
      </c>
      <c r="H208" s="88">
        <v>134.25</v>
      </c>
      <c r="I208" s="89"/>
      <c r="J208" s="89">
        <f t="shared" si="40"/>
        <v>0</v>
      </c>
      <c r="K208" s="90"/>
      <c r="L208" s="15"/>
      <c r="M208" s="91" t="s">
        <v>0</v>
      </c>
      <c r="N208" s="92" t="s">
        <v>23</v>
      </c>
      <c r="O208" s="93">
        <v>0.29099999999999998</v>
      </c>
      <c r="P208" s="93">
        <f t="shared" si="41"/>
        <v>39.066749999999999</v>
      </c>
      <c r="Q208" s="93">
        <v>0</v>
      </c>
      <c r="R208" s="93">
        <f t="shared" si="42"/>
        <v>0</v>
      </c>
      <c r="S208" s="93">
        <v>6.5000000000000002E-2</v>
      </c>
      <c r="T208" s="94">
        <f t="shared" si="43"/>
        <v>8.7262500000000003</v>
      </c>
      <c r="V208" s="127" t="s">
        <v>956</v>
      </c>
      <c r="AR208" s="95" t="s">
        <v>93</v>
      </c>
      <c r="AT208" s="95" t="s">
        <v>90</v>
      </c>
      <c r="AU208" s="95" t="s">
        <v>94</v>
      </c>
      <c r="AY208" s="7" t="s">
        <v>88</v>
      </c>
      <c r="BE208" s="96">
        <f t="shared" si="44"/>
        <v>0</v>
      </c>
      <c r="BF208" s="96">
        <f t="shared" si="45"/>
        <v>0</v>
      </c>
      <c r="BG208" s="96">
        <f t="shared" si="46"/>
        <v>0</v>
      </c>
      <c r="BH208" s="96">
        <f t="shared" si="47"/>
        <v>0</v>
      </c>
      <c r="BI208" s="96">
        <f t="shared" si="48"/>
        <v>0</v>
      </c>
      <c r="BJ208" s="7" t="s">
        <v>94</v>
      </c>
      <c r="BK208" s="96">
        <f t="shared" si="49"/>
        <v>0</v>
      </c>
      <c r="BL208" s="7" t="s">
        <v>93</v>
      </c>
      <c r="BM208" s="95" t="s">
        <v>286</v>
      </c>
    </row>
    <row r="209" spans="2:65" s="1" customFormat="1" ht="24.2" customHeight="1">
      <c r="B209" s="83"/>
      <c r="C209" s="84">
        <v>62</v>
      </c>
      <c r="D209" s="84" t="s">
        <v>90</v>
      </c>
      <c r="E209" s="85" t="s">
        <v>287</v>
      </c>
      <c r="F209" s="86" t="s">
        <v>288</v>
      </c>
      <c r="G209" s="87" t="s">
        <v>160</v>
      </c>
      <c r="H209" s="88">
        <v>80</v>
      </c>
      <c r="I209" s="89"/>
      <c r="J209" s="89">
        <f t="shared" si="40"/>
        <v>0</v>
      </c>
      <c r="K209" s="90"/>
      <c r="L209" s="15"/>
      <c r="M209" s="91" t="s">
        <v>0</v>
      </c>
      <c r="N209" s="92" t="s">
        <v>23</v>
      </c>
      <c r="O209" s="93">
        <v>0.03</v>
      </c>
      <c r="P209" s="93">
        <f t="shared" si="41"/>
        <v>2.4</v>
      </c>
      <c r="Q209" s="93">
        <v>0</v>
      </c>
      <c r="R209" s="93">
        <f t="shared" si="42"/>
        <v>0</v>
      </c>
      <c r="S209" s="93">
        <v>1.2E-2</v>
      </c>
      <c r="T209" s="94">
        <f t="shared" si="43"/>
        <v>0.96</v>
      </c>
      <c r="V209" s="123" t="s">
        <v>950</v>
      </c>
      <c r="AR209" s="95" t="s">
        <v>93</v>
      </c>
      <c r="AT209" s="95" t="s">
        <v>90</v>
      </c>
      <c r="AU209" s="95" t="s">
        <v>94</v>
      </c>
      <c r="AY209" s="7" t="s">
        <v>88</v>
      </c>
      <c r="BE209" s="96">
        <f t="shared" si="44"/>
        <v>0</v>
      </c>
      <c r="BF209" s="96">
        <f t="shared" si="45"/>
        <v>0</v>
      </c>
      <c r="BG209" s="96">
        <f t="shared" si="46"/>
        <v>0</v>
      </c>
      <c r="BH209" s="96">
        <f t="shared" si="47"/>
        <v>0</v>
      </c>
      <c r="BI209" s="96">
        <f t="shared" si="48"/>
        <v>0</v>
      </c>
      <c r="BJ209" s="7" t="s">
        <v>94</v>
      </c>
      <c r="BK209" s="96">
        <f t="shared" si="49"/>
        <v>0</v>
      </c>
      <c r="BL209" s="7" t="s">
        <v>93</v>
      </c>
      <c r="BM209" s="95" t="s">
        <v>289</v>
      </c>
    </row>
    <row r="210" spans="2:65" s="1" customFormat="1" ht="24.2" customHeight="1">
      <c r="B210" s="83"/>
      <c r="C210" s="84">
        <v>63</v>
      </c>
      <c r="D210" s="84" t="s">
        <v>90</v>
      </c>
      <c r="E210" s="85" t="s">
        <v>290</v>
      </c>
      <c r="F210" s="86" t="s">
        <v>291</v>
      </c>
      <c r="G210" s="87" t="s">
        <v>160</v>
      </c>
      <c r="H210" s="88">
        <v>42</v>
      </c>
      <c r="I210" s="89"/>
      <c r="J210" s="89">
        <f t="shared" si="40"/>
        <v>0</v>
      </c>
      <c r="K210" s="90"/>
      <c r="L210" s="15"/>
      <c r="M210" s="91" t="s">
        <v>0</v>
      </c>
      <c r="N210" s="92" t="s">
        <v>23</v>
      </c>
      <c r="O210" s="93">
        <v>4.9000000000000002E-2</v>
      </c>
      <c r="P210" s="93">
        <f t="shared" si="41"/>
        <v>2.0580000000000003</v>
      </c>
      <c r="Q210" s="93">
        <v>0</v>
      </c>
      <c r="R210" s="93">
        <f t="shared" si="42"/>
        <v>0</v>
      </c>
      <c r="S210" s="93">
        <v>2.4E-2</v>
      </c>
      <c r="T210" s="94">
        <f t="shared" si="43"/>
        <v>1.008</v>
      </c>
      <c r="V210" s="123" t="s">
        <v>950</v>
      </c>
      <c r="AR210" s="95" t="s">
        <v>93</v>
      </c>
      <c r="AT210" s="95" t="s">
        <v>90</v>
      </c>
      <c r="AU210" s="95" t="s">
        <v>94</v>
      </c>
      <c r="AY210" s="7" t="s">
        <v>88</v>
      </c>
      <c r="BE210" s="96">
        <f t="shared" si="44"/>
        <v>0</v>
      </c>
      <c r="BF210" s="96">
        <f t="shared" si="45"/>
        <v>0</v>
      </c>
      <c r="BG210" s="96">
        <f t="shared" si="46"/>
        <v>0</v>
      </c>
      <c r="BH210" s="96">
        <f t="shared" si="47"/>
        <v>0</v>
      </c>
      <c r="BI210" s="96">
        <f t="shared" si="48"/>
        <v>0</v>
      </c>
      <c r="BJ210" s="7" t="s">
        <v>94</v>
      </c>
      <c r="BK210" s="96">
        <f t="shared" si="49"/>
        <v>0</v>
      </c>
      <c r="BL210" s="7" t="s">
        <v>93</v>
      </c>
      <c r="BM210" s="95" t="s">
        <v>292</v>
      </c>
    </row>
    <row r="211" spans="2:65" s="1" customFormat="1" ht="24.2" customHeight="1">
      <c r="B211" s="83"/>
      <c r="C211" s="84">
        <v>64</v>
      </c>
      <c r="D211" s="84" t="s">
        <v>90</v>
      </c>
      <c r="E211" s="85" t="s">
        <v>293</v>
      </c>
      <c r="F211" s="86" t="s">
        <v>294</v>
      </c>
      <c r="G211" s="87" t="s">
        <v>135</v>
      </c>
      <c r="H211" s="88">
        <v>3</v>
      </c>
      <c r="I211" s="89"/>
      <c r="J211" s="89">
        <f t="shared" si="40"/>
        <v>0</v>
      </c>
      <c r="K211" s="90"/>
      <c r="L211" s="15"/>
      <c r="M211" s="91" t="s">
        <v>0</v>
      </c>
      <c r="N211" s="92" t="s">
        <v>23</v>
      </c>
      <c r="O211" s="93">
        <v>0.93300000000000005</v>
      </c>
      <c r="P211" s="93">
        <f t="shared" si="41"/>
        <v>2.7990000000000004</v>
      </c>
      <c r="Q211" s="93">
        <v>0</v>
      </c>
      <c r="R211" s="93">
        <f t="shared" si="42"/>
        <v>0</v>
      </c>
      <c r="S211" s="93">
        <v>7.4999999999999997E-2</v>
      </c>
      <c r="T211" s="94">
        <f t="shared" si="43"/>
        <v>0.22499999999999998</v>
      </c>
      <c r="V211" s="123" t="s">
        <v>950</v>
      </c>
      <c r="AR211" s="95" t="s">
        <v>93</v>
      </c>
      <c r="AT211" s="95" t="s">
        <v>90</v>
      </c>
      <c r="AU211" s="95" t="s">
        <v>94</v>
      </c>
      <c r="AY211" s="7" t="s">
        <v>88</v>
      </c>
      <c r="BE211" s="96">
        <f t="shared" si="44"/>
        <v>0</v>
      </c>
      <c r="BF211" s="96">
        <f t="shared" si="45"/>
        <v>0</v>
      </c>
      <c r="BG211" s="96">
        <f t="shared" si="46"/>
        <v>0</v>
      </c>
      <c r="BH211" s="96">
        <f t="shared" si="47"/>
        <v>0</v>
      </c>
      <c r="BI211" s="96">
        <f t="shared" si="48"/>
        <v>0</v>
      </c>
      <c r="BJ211" s="7" t="s">
        <v>94</v>
      </c>
      <c r="BK211" s="96">
        <f t="shared" si="49"/>
        <v>0</v>
      </c>
      <c r="BL211" s="7" t="s">
        <v>93</v>
      </c>
      <c r="BM211" s="95" t="s">
        <v>295</v>
      </c>
    </row>
    <row r="212" spans="2:65" s="1" customFormat="1" ht="24.2" customHeight="1">
      <c r="B212" s="83"/>
      <c r="C212" s="84">
        <v>65</v>
      </c>
      <c r="D212" s="84" t="s">
        <v>90</v>
      </c>
      <c r="E212" s="85" t="s">
        <v>296</v>
      </c>
      <c r="F212" s="86" t="s">
        <v>297</v>
      </c>
      <c r="G212" s="87" t="s">
        <v>135</v>
      </c>
      <c r="H212" s="88">
        <v>50</v>
      </c>
      <c r="I212" s="89"/>
      <c r="J212" s="89">
        <f t="shared" si="40"/>
        <v>0</v>
      </c>
      <c r="K212" s="90"/>
      <c r="L212" s="15"/>
      <c r="M212" s="91" t="s">
        <v>0</v>
      </c>
      <c r="N212" s="92" t="s">
        <v>23</v>
      </c>
      <c r="O212" s="93">
        <v>0.46400000000000002</v>
      </c>
      <c r="P212" s="93">
        <f t="shared" si="41"/>
        <v>23.200000000000003</v>
      </c>
      <c r="Q212" s="93">
        <v>0</v>
      </c>
      <c r="R212" s="93">
        <f t="shared" si="42"/>
        <v>0</v>
      </c>
      <c r="S212" s="93">
        <v>5.3999999999999999E-2</v>
      </c>
      <c r="T212" s="94">
        <f t="shared" si="43"/>
        <v>2.7</v>
      </c>
      <c r="V212" s="123" t="s">
        <v>950</v>
      </c>
      <c r="AR212" s="95" t="s">
        <v>93</v>
      </c>
      <c r="AT212" s="95" t="s">
        <v>90</v>
      </c>
      <c r="AU212" s="95" t="s">
        <v>94</v>
      </c>
      <c r="AY212" s="7" t="s">
        <v>88</v>
      </c>
      <c r="BE212" s="96">
        <f t="shared" si="44"/>
        <v>0</v>
      </c>
      <c r="BF212" s="96">
        <f t="shared" si="45"/>
        <v>0</v>
      </c>
      <c r="BG212" s="96">
        <f t="shared" si="46"/>
        <v>0</v>
      </c>
      <c r="BH212" s="96">
        <f t="shared" si="47"/>
        <v>0</v>
      </c>
      <c r="BI212" s="96">
        <f t="shared" si="48"/>
        <v>0</v>
      </c>
      <c r="BJ212" s="7" t="s">
        <v>94</v>
      </c>
      <c r="BK212" s="96">
        <f t="shared" si="49"/>
        <v>0</v>
      </c>
      <c r="BL212" s="7" t="s">
        <v>93</v>
      </c>
      <c r="BM212" s="95" t="s">
        <v>298</v>
      </c>
    </row>
    <row r="213" spans="2:65" s="1" customFormat="1" ht="24.2" customHeight="1">
      <c r="B213" s="83"/>
      <c r="C213" s="84">
        <v>66</v>
      </c>
      <c r="D213" s="84" t="s">
        <v>90</v>
      </c>
      <c r="E213" s="85" t="s">
        <v>299</v>
      </c>
      <c r="F213" s="86" t="s">
        <v>300</v>
      </c>
      <c r="G213" s="87" t="s">
        <v>135</v>
      </c>
      <c r="H213" s="88">
        <v>195.03</v>
      </c>
      <c r="I213" s="89"/>
      <c r="J213" s="89">
        <f t="shared" ref="J213:J232" si="50">ROUND(I213*H213,2)</f>
        <v>0</v>
      </c>
      <c r="K213" s="90"/>
      <c r="L213" s="15"/>
      <c r="M213" s="91" t="s">
        <v>0</v>
      </c>
      <c r="N213" s="92" t="s">
        <v>23</v>
      </c>
      <c r="O213" s="93">
        <v>1.6</v>
      </c>
      <c r="P213" s="93">
        <f t="shared" ref="P213:P232" si="51">O213*H213</f>
        <v>312.048</v>
      </c>
      <c r="Q213" s="93">
        <v>0</v>
      </c>
      <c r="R213" s="93">
        <f t="shared" ref="R213:R232" si="52">Q213*H213</f>
        <v>0</v>
      </c>
      <c r="S213" s="93">
        <v>7.5999999999999998E-2</v>
      </c>
      <c r="T213" s="94">
        <f t="shared" ref="T213:T232" si="53">S213*H213</f>
        <v>14.822279999999999</v>
      </c>
      <c r="V213" s="123" t="s">
        <v>950</v>
      </c>
      <c r="AR213" s="95" t="s">
        <v>93</v>
      </c>
      <c r="AT213" s="95" t="s">
        <v>90</v>
      </c>
      <c r="AU213" s="95" t="s">
        <v>94</v>
      </c>
      <c r="AY213" s="7" t="s">
        <v>88</v>
      </c>
      <c r="BE213" s="96">
        <f t="shared" ref="BE213:BE232" si="54">IF(N213="základná",J213,0)</f>
        <v>0</v>
      </c>
      <c r="BF213" s="96">
        <f t="shared" ref="BF213:BF232" si="55">IF(N213="znížená",J213,0)</f>
        <v>0</v>
      </c>
      <c r="BG213" s="96">
        <f t="shared" ref="BG213:BG232" si="56">IF(N213="zákl. prenesená",J213,0)</f>
        <v>0</v>
      </c>
      <c r="BH213" s="96">
        <f t="shared" ref="BH213:BH232" si="57">IF(N213="zníž. prenesená",J213,0)</f>
        <v>0</v>
      </c>
      <c r="BI213" s="96">
        <f t="shared" ref="BI213:BI232" si="58">IF(N213="nulová",J213,0)</f>
        <v>0</v>
      </c>
      <c r="BJ213" s="7" t="s">
        <v>94</v>
      </c>
      <c r="BK213" s="96">
        <f t="shared" ref="BK213:BK232" si="59">ROUND(I213*H213,2)</f>
        <v>0</v>
      </c>
      <c r="BL213" s="7" t="s">
        <v>93</v>
      </c>
      <c r="BM213" s="95" t="s">
        <v>301</v>
      </c>
    </row>
    <row r="214" spans="2:65" s="1" customFormat="1" ht="24.2" customHeight="1">
      <c r="B214" s="83"/>
      <c r="C214" s="84">
        <v>67</v>
      </c>
      <c r="D214" s="84" t="s">
        <v>90</v>
      </c>
      <c r="E214" s="85" t="s">
        <v>302</v>
      </c>
      <c r="F214" s="86" t="s">
        <v>303</v>
      </c>
      <c r="G214" s="87" t="s">
        <v>135</v>
      </c>
      <c r="H214" s="88">
        <v>32</v>
      </c>
      <c r="I214" s="89"/>
      <c r="J214" s="89">
        <f t="shared" si="50"/>
        <v>0</v>
      </c>
      <c r="K214" s="90"/>
      <c r="L214" s="15"/>
      <c r="M214" s="91" t="s">
        <v>0</v>
      </c>
      <c r="N214" s="92" t="s">
        <v>23</v>
      </c>
      <c r="O214" s="93">
        <v>1.2</v>
      </c>
      <c r="P214" s="93">
        <f t="shared" si="51"/>
        <v>38.4</v>
      </c>
      <c r="Q214" s="93">
        <v>0</v>
      </c>
      <c r="R214" s="93">
        <f t="shared" si="52"/>
        <v>0</v>
      </c>
      <c r="S214" s="93">
        <v>6.3E-2</v>
      </c>
      <c r="T214" s="94">
        <f t="shared" si="53"/>
        <v>2.016</v>
      </c>
      <c r="V214" s="123" t="s">
        <v>950</v>
      </c>
      <c r="AR214" s="95" t="s">
        <v>93</v>
      </c>
      <c r="AT214" s="95" t="s">
        <v>90</v>
      </c>
      <c r="AU214" s="95" t="s">
        <v>94</v>
      </c>
      <c r="AY214" s="7" t="s">
        <v>88</v>
      </c>
      <c r="BE214" s="96">
        <f t="shared" si="54"/>
        <v>0</v>
      </c>
      <c r="BF214" s="96">
        <f t="shared" si="55"/>
        <v>0</v>
      </c>
      <c r="BG214" s="96">
        <f t="shared" si="56"/>
        <v>0</v>
      </c>
      <c r="BH214" s="96">
        <f t="shared" si="57"/>
        <v>0</v>
      </c>
      <c r="BI214" s="96">
        <f t="shared" si="58"/>
        <v>0</v>
      </c>
      <c r="BJ214" s="7" t="s">
        <v>94</v>
      </c>
      <c r="BK214" s="96">
        <f t="shared" si="59"/>
        <v>0</v>
      </c>
      <c r="BL214" s="7" t="s">
        <v>93</v>
      </c>
      <c r="BM214" s="95" t="s">
        <v>304</v>
      </c>
    </row>
    <row r="215" spans="2:65" s="1" customFormat="1" ht="37.9" customHeight="1">
      <c r="B215" s="83"/>
      <c r="C215" s="84">
        <v>68</v>
      </c>
      <c r="D215" s="84" t="s">
        <v>90</v>
      </c>
      <c r="E215" s="85" t="s">
        <v>305</v>
      </c>
      <c r="F215" s="86" t="s">
        <v>306</v>
      </c>
      <c r="G215" s="87" t="s">
        <v>145</v>
      </c>
      <c r="H215" s="88">
        <v>50</v>
      </c>
      <c r="I215" s="89"/>
      <c r="J215" s="89">
        <f t="shared" si="50"/>
        <v>0</v>
      </c>
      <c r="K215" s="90"/>
      <c r="L215" s="15"/>
      <c r="M215" s="91" t="s">
        <v>0</v>
      </c>
      <c r="N215" s="92" t="s">
        <v>23</v>
      </c>
      <c r="O215" s="93">
        <v>0.50651999999999997</v>
      </c>
      <c r="P215" s="93">
        <f t="shared" si="51"/>
        <v>25.325999999999997</v>
      </c>
      <c r="Q215" s="93">
        <v>0</v>
      </c>
      <c r="R215" s="93">
        <f t="shared" si="52"/>
        <v>0</v>
      </c>
      <c r="S215" s="93">
        <v>3.7999999999999999E-2</v>
      </c>
      <c r="T215" s="94">
        <f t="shared" si="53"/>
        <v>1.9</v>
      </c>
      <c r="V215" s="127" t="s">
        <v>956</v>
      </c>
      <c r="AR215" s="95" t="s">
        <v>93</v>
      </c>
      <c r="AT215" s="95" t="s">
        <v>90</v>
      </c>
      <c r="AU215" s="95" t="s">
        <v>94</v>
      </c>
      <c r="AY215" s="7" t="s">
        <v>88</v>
      </c>
      <c r="BE215" s="96">
        <f t="shared" si="54"/>
        <v>0</v>
      </c>
      <c r="BF215" s="96">
        <f t="shared" si="55"/>
        <v>0</v>
      </c>
      <c r="BG215" s="96">
        <f t="shared" si="56"/>
        <v>0</v>
      </c>
      <c r="BH215" s="96">
        <f t="shared" si="57"/>
        <v>0</v>
      </c>
      <c r="BI215" s="96">
        <f t="shared" si="58"/>
        <v>0</v>
      </c>
      <c r="BJ215" s="7" t="s">
        <v>94</v>
      </c>
      <c r="BK215" s="96">
        <f t="shared" si="59"/>
        <v>0</v>
      </c>
      <c r="BL215" s="7" t="s">
        <v>93</v>
      </c>
      <c r="BM215" s="95" t="s">
        <v>307</v>
      </c>
    </row>
    <row r="216" spans="2:65" s="1" customFormat="1" ht="21.75" customHeight="1">
      <c r="B216" s="83"/>
      <c r="C216" s="84">
        <v>69</v>
      </c>
      <c r="D216" s="84" t="s">
        <v>90</v>
      </c>
      <c r="E216" s="85" t="s">
        <v>308</v>
      </c>
      <c r="F216" s="86" t="s">
        <v>309</v>
      </c>
      <c r="G216" s="87" t="s">
        <v>145</v>
      </c>
      <c r="H216" s="88">
        <v>93.63</v>
      </c>
      <c r="I216" s="89"/>
      <c r="J216" s="89">
        <f t="shared" si="50"/>
        <v>0</v>
      </c>
      <c r="K216" s="90"/>
      <c r="L216" s="15"/>
      <c r="M216" s="91" t="s">
        <v>0</v>
      </c>
      <c r="N216" s="92" t="s">
        <v>23</v>
      </c>
      <c r="O216" s="93">
        <v>0.19800000000000001</v>
      </c>
      <c r="P216" s="93">
        <f t="shared" si="51"/>
        <v>18.538740000000001</v>
      </c>
      <c r="Q216" s="93">
        <v>0</v>
      </c>
      <c r="R216" s="93">
        <f t="shared" si="52"/>
        <v>0</v>
      </c>
      <c r="S216" s="93">
        <v>1.6E-2</v>
      </c>
      <c r="T216" s="94">
        <f t="shared" si="53"/>
        <v>1.4980799999999999</v>
      </c>
      <c r="V216" s="127" t="s">
        <v>956</v>
      </c>
      <c r="AR216" s="95" t="s">
        <v>93</v>
      </c>
      <c r="AT216" s="95" t="s">
        <v>90</v>
      </c>
      <c r="AU216" s="95" t="s">
        <v>94</v>
      </c>
      <c r="AY216" s="7" t="s">
        <v>88</v>
      </c>
      <c r="BE216" s="96">
        <f t="shared" si="54"/>
        <v>0</v>
      </c>
      <c r="BF216" s="96">
        <f t="shared" si="55"/>
        <v>0</v>
      </c>
      <c r="BG216" s="96">
        <f t="shared" si="56"/>
        <v>0</v>
      </c>
      <c r="BH216" s="96">
        <f t="shared" si="57"/>
        <v>0</v>
      </c>
      <c r="BI216" s="96">
        <f t="shared" si="58"/>
        <v>0</v>
      </c>
      <c r="BJ216" s="7" t="s">
        <v>94</v>
      </c>
      <c r="BK216" s="96">
        <f t="shared" si="59"/>
        <v>0</v>
      </c>
      <c r="BL216" s="7" t="s">
        <v>93</v>
      </c>
      <c r="BM216" s="95" t="s">
        <v>310</v>
      </c>
    </row>
    <row r="217" spans="2:65" s="1" customFormat="1" ht="16.5" customHeight="1">
      <c r="B217" s="83"/>
      <c r="C217" s="84">
        <v>70</v>
      </c>
      <c r="D217" s="84" t="s">
        <v>90</v>
      </c>
      <c r="E217" s="85" t="s">
        <v>311</v>
      </c>
      <c r="F217" s="86" t="s">
        <v>312</v>
      </c>
      <c r="G217" s="87" t="s">
        <v>145</v>
      </c>
      <c r="H217" s="88">
        <v>10</v>
      </c>
      <c r="I217" s="89"/>
      <c r="J217" s="89">
        <f t="shared" si="50"/>
        <v>0</v>
      </c>
      <c r="K217" s="90"/>
      <c r="L217" s="15"/>
      <c r="M217" s="91" t="s">
        <v>0</v>
      </c>
      <c r="N217" s="92" t="s">
        <v>23</v>
      </c>
      <c r="O217" s="93">
        <v>0.52</v>
      </c>
      <c r="P217" s="93">
        <f t="shared" si="51"/>
        <v>5.2</v>
      </c>
      <c r="Q217" s="93">
        <v>0</v>
      </c>
      <c r="R217" s="93">
        <f t="shared" si="52"/>
        <v>0</v>
      </c>
      <c r="S217" s="93">
        <v>3.6999999999999998E-2</v>
      </c>
      <c r="T217" s="94">
        <f t="shared" si="53"/>
        <v>0.37</v>
      </c>
      <c r="V217" s="127" t="s">
        <v>956</v>
      </c>
      <c r="AR217" s="95" t="s">
        <v>93</v>
      </c>
      <c r="AT217" s="95" t="s">
        <v>90</v>
      </c>
      <c r="AU217" s="95" t="s">
        <v>94</v>
      </c>
      <c r="AY217" s="7" t="s">
        <v>88</v>
      </c>
      <c r="BE217" s="96">
        <f t="shared" si="54"/>
        <v>0</v>
      </c>
      <c r="BF217" s="96">
        <f t="shared" si="55"/>
        <v>0</v>
      </c>
      <c r="BG217" s="96">
        <f t="shared" si="56"/>
        <v>0</v>
      </c>
      <c r="BH217" s="96">
        <f t="shared" si="57"/>
        <v>0</v>
      </c>
      <c r="BI217" s="96">
        <f t="shared" si="58"/>
        <v>0</v>
      </c>
      <c r="BJ217" s="7" t="s">
        <v>94</v>
      </c>
      <c r="BK217" s="96">
        <f t="shared" si="59"/>
        <v>0</v>
      </c>
      <c r="BL217" s="7" t="s">
        <v>93</v>
      </c>
      <c r="BM217" s="95" t="s">
        <v>313</v>
      </c>
    </row>
    <row r="218" spans="2:65" s="1" customFormat="1" ht="37.9" customHeight="1">
      <c r="B218" s="83"/>
      <c r="C218" s="84">
        <v>71</v>
      </c>
      <c r="D218" s="84" t="s">
        <v>90</v>
      </c>
      <c r="E218" s="85" t="s">
        <v>314</v>
      </c>
      <c r="F218" s="86" t="s">
        <v>315</v>
      </c>
      <c r="G218" s="87" t="s">
        <v>135</v>
      </c>
      <c r="H218" s="88">
        <v>75</v>
      </c>
      <c r="I218" s="89"/>
      <c r="J218" s="89">
        <f t="shared" si="50"/>
        <v>0</v>
      </c>
      <c r="K218" s="90"/>
      <c r="L218" s="15"/>
      <c r="M218" s="91" t="s">
        <v>0</v>
      </c>
      <c r="N218" s="92" t="s">
        <v>23</v>
      </c>
      <c r="O218" s="93">
        <v>0.19525000000000001</v>
      </c>
      <c r="P218" s="93">
        <f t="shared" si="51"/>
        <v>14.643750000000001</v>
      </c>
      <c r="Q218" s="93">
        <v>0</v>
      </c>
      <c r="R218" s="93">
        <f t="shared" si="52"/>
        <v>0</v>
      </c>
      <c r="S218" s="93">
        <v>5.8999999999999997E-2</v>
      </c>
      <c r="T218" s="94">
        <f t="shared" si="53"/>
        <v>4.4249999999999998</v>
      </c>
      <c r="V218" s="120" t="s">
        <v>948</v>
      </c>
      <c r="AR218" s="95" t="s">
        <v>93</v>
      </c>
      <c r="AT218" s="95" t="s">
        <v>90</v>
      </c>
      <c r="AU218" s="95" t="s">
        <v>94</v>
      </c>
      <c r="AY218" s="7" t="s">
        <v>88</v>
      </c>
      <c r="BE218" s="96">
        <f t="shared" si="54"/>
        <v>0</v>
      </c>
      <c r="BF218" s="96">
        <f t="shared" si="55"/>
        <v>0</v>
      </c>
      <c r="BG218" s="96">
        <f t="shared" si="56"/>
        <v>0</v>
      </c>
      <c r="BH218" s="96">
        <f t="shared" si="57"/>
        <v>0</v>
      </c>
      <c r="BI218" s="96">
        <f t="shared" si="58"/>
        <v>0</v>
      </c>
      <c r="BJ218" s="7" t="s">
        <v>94</v>
      </c>
      <c r="BK218" s="96">
        <f t="shared" si="59"/>
        <v>0</v>
      </c>
      <c r="BL218" s="7" t="s">
        <v>93</v>
      </c>
      <c r="BM218" s="95" t="s">
        <v>316</v>
      </c>
    </row>
    <row r="219" spans="2:65" s="1" customFormat="1" ht="37.9" customHeight="1">
      <c r="B219" s="83"/>
      <c r="C219" s="84">
        <v>72</v>
      </c>
      <c r="D219" s="84" t="s">
        <v>90</v>
      </c>
      <c r="E219" s="85" t="s">
        <v>317</v>
      </c>
      <c r="F219" s="86" t="s">
        <v>318</v>
      </c>
      <c r="G219" s="87" t="s">
        <v>135</v>
      </c>
      <c r="H219" s="88">
        <f>H179-H218</f>
        <v>777.11</v>
      </c>
      <c r="I219" s="89"/>
      <c r="J219" s="89">
        <f t="shared" si="50"/>
        <v>0</v>
      </c>
      <c r="K219" s="90"/>
      <c r="L219" s="15"/>
      <c r="M219" s="91" t="s">
        <v>0</v>
      </c>
      <c r="N219" s="92" t="s">
        <v>23</v>
      </c>
      <c r="O219" s="93">
        <v>0.25383</v>
      </c>
      <c r="P219" s="93">
        <f t="shared" si="51"/>
        <v>197.2538313</v>
      </c>
      <c r="Q219" s="93">
        <v>0</v>
      </c>
      <c r="R219" s="93">
        <f t="shared" si="52"/>
        <v>0</v>
      </c>
      <c r="S219" s="93">
        <v>5.8999999999999997E-2</v>
      </c>
      <c r="T219" s="94">
        <f t="shared" si="53"/>
        <v>45.849489999999996</v>
      </c>
      <c r="V219" s="120" t="s">
        <v>948</v>
      </c>
      <c r="AR219" s="95" t="s">
        <v>93</v>
      </c>
      <c r="AT219" s="95" t="s">
        <v>90</v>
      </c>
      <c r="AU219" s="95" t="s">
        <v>94</v>
      </c>
      <c r="AY219" s="7" t="s">
        <v>88</v>
      </c>
      <c r="BE219" s="96">
        <f t="shared" si="54"/>
        <v>0</v>
      </c>
      <c r="BF219" s="96">
        <f t="shared" si="55"/>
        <v>0</v>
      </c>
      <c r="BG219" s="96">
        <f t="shared" si="56"/>
        <v>0</v>
      </c>
      <c r="BH219" s="96">
        <f t="shared" si="57"/>
        <v>0</v>
      </c>
      <c r="BI219" s="96">
        <f t="shared" si="58"/>
        <v>0</v>
      </c>
      <c r="BJ219" s="7" t="s">
        <v>94</v>
      </c>
      <c r="BK219" s="96">
        <f t="shared" si="59"/>
        <v>0</v>
      </c>
      <c r="BL219" s="7" t="s">
        <v>93</v>
      </c>
      <c r="BM219" s="95" t="s">
        <v>319</v>
      </c>
    </row>
    <row r="220" spans="2:65" s="1" customFormat="1" ht="24.2" customHeight="1">
      <c r="B220" s="83"/>
      <c r="C220" s="84">
        <v>73</v>
      </c>
      <c r="D220" s="84" t="s">
        <v>90</v>
      </c>
      <c r="E220" s="85" t="s">
        <v>320</v>
      </c>
      <c r="F220" s="86" t="s">
        <v>321</v>
      </c>
      <c r="G220" s="87" t="s">
        <v>135</v>
      </c>
      <c r="H220" s="88">
        <v>50</v>
      </c>
      <c r="I220" s="89"/>
      <c r="J220" s="89">
        <f t="shared" si="50"/>
        <v>0</v>
      </c>
      <c r="K220" s="90"/>
      <c r="L220" s="15"/>
      <c r="M220" s="91" t="s">
        <v>0</v>
      </c>
      <c r="N220" s="92" t="s">
        <v>23</v>
      </c>
      <c r="O220" s="93">
        <v>0.65408999999999995</v>
      </c>
      <c r="P220" s="93">
        <f t="shared" si="51"/>
        <v>32.704499999999996</v>
      </c>
      <c r="Q220" s="93">
        <v>0</v>
      </c>
      <c r="R220" s="93">
        <f t="shared" si="52"/>
        <v>0</v>
      </c>
      <c r="S220" s="93">
        <v>6.0999999999999999E-2</v>
      </c>
      <c r="T220" s="94">
        <f t="shared" si="53"/>
        <v>3.05</v>
      </c>
      <c r="V220" s="127" t="s">
        <v>956</v>
      </c>
      <c r="AR220" s="95" t="s">
        <v>93</v>
      </c>
      <c r="AT220" s="95" t="s">
        <v>90</v>
      </c>
      <c r="AU220" s="95" t="s">
        <v>94</v>
      </c>
      <c r="AY220" s="7" t="s">
        <v>88</v>
      </c>
      <c r="BE220" s="96">
        <f t="shared" si="54"/>
        <v>0</v>
      </c>
      <c r="BF220" s="96">
        <f t="shared" si="55"/>
        <v>0</v>
      </c>
      <c r="BG220" s="96">
        <f t="shared" si="56"/>
        <v>0</v>
      </c>
      <c r="BH220" s="96">
        <f t="shared" si="57"/>
        <v>0</v>
      </c>
      <c r="BI220" s="96">
        <f t="shared" si="58"/>
        <v>0</v>
      </c>
      <c r="BJ220" s="7" t="s">
        <v>94</v>
      </c>
      <c r="BK220" s="96">
        <f t="shared" si="59"/>
        <v>0</v>
      </c>
      <c r="BL220" s="7" t="s">
        <v>93</v>
      </c>
      <c r="BM220" s="95" t="s">
        <v>322</v>
      </c>
    </row>
    <row r="221" spans="2:65" s="1" customFormat="1" ht="37.9" customHeight="1">
      <c r="B221" s="83"/>
      <c r="C221" s="84">
        <v>74</v>
      </c>
      <c r="D221" s="84" t="s">
        <v>90</v>
      </c>
      <c r="E221" s="85" t="s">
        <v>323</v>
      </c>
      <c r="F221" s="86" t="s">
        <v>324</v>
      </c>
      <c r="G221" s="87" t="s">
        <v>135</v>
      </c>
      <c r="H221" s="88">
        <v>78.599999999999994</v>
      </c>
      <c r="I221" s="89"/>
      <c r="J221" s="89">
        <f t="shared" si="50"/>
        <v>0</v>
      </c>
      <c r="K221" s="90"/>
      <c r="L221" s="15"/>
      <c r="M221" s="91" t="s">
        <v>0</v>
      </c>
      <c r="N221" s="92" t="s">
        <v>23</v>
      </c>
      <c r="O221" s="93">
        <v>0.28399999999999997</v>
      </c>
      <c r="P221" s="93">
        <f t="shared" si="51"/>
        <v>22.322399999999995</v>
      </c>
      <c r="Q221" s="93">
        <v>0</v>
      </c>
      <c r="R221" s="93">
        <f t="shared" si="52"/>
        <v>0</v>
      </c>
      <c r="S221" s="93">
        <v>6.8000000000000005E-2</v>
      </c>
      <c r="T221" s="94">
        <f t="shared" si="53"/>
        <v>5.3448000000000002</v>
      </c>
      <c r="V221" s="119" t="s">
        <v>953</v>
      </c>
      <c r="AR221" s="95" t="s">
        <v>93</v>
      </c>
      <c r="AT221" s="95" t="s">
        <v>90</v>
      </c>
      <c r="AU221" s="95" t="s">
        <v>94</v>
      </c>
      <c r="AY221" s="7" t="s">
        <v>88</v>
      </c>
      <c r="BE221" s="96">
        <f t="shared" si="54"/>
        <v>0</v>
      </c>
      <c r="BF221" s="96">
        <f t="shared" si="55"/>
        <v>0</v>
      </c>
      <c r="BG221" s="96">
        <f t="shared" si="56"/>
        <v>0</v>
      </c>
      <c r="BH221" s="96">
        <f t="shared" si="57"/>
        <v>0</v>
      </c>
      <c r="BI221" s="96">
        <f t="shared" si="58"/>
        <v>0</v>
      </c>
      <c r="BJ221" s="7" t="s">
        <v>94</v>
      </c>
      <c r="BK221" s="96">
        <f t="shared" si="59"/>
        <v>0</v>
      </c>
      <c r="BL221" s="7" t="s">
        <v>93</v>
      </c>
      <c r="BM221" s="95" t="s">
        <v>325</v>
      </c>
    </row>
    <row r="222" spans="2:65" s="1" customFormat="1" ht="37.9" customHeight="1">
      <c r="B222" s="83"/>
      <c r="C222" s="84">
        <v>75</v>
      </c>
      <c r="D222" s="84" t="s">
        <v>90</v>
      </c>
      <c r="E222" s="85" t="s">
        <v>326</v>
      </c>
      <c r="F222" s="86" t="s">
        <v>327</v>
      </c>
      <c r="G222" s="87" t="s">
        <v>135</v>
      </c>
      <c r="H222" s="88">
        <v>35</v>
      </c>
      <c r="I222" s="89"/>
      <c r="J222" s="89">
        <f t="shared" si="50"/>
        <v>0</v>
      </c>
      <c r="K222" s="90"/>
      <c r="L222" s="15"/>
      <c r="M222" s="91" t="s">
        <v>0</v>
      </c>
      <c r="N222" s="92" t="s">
        <v>23</v>
      </c>
      <c r="O222" s="93">
        <v>0.64300000000000002</v>
      </c>
      <c r="P222" s="93">
        <f t="shared" si="51"/>
        <v>22.504999999999999</v>
      </c>
      <c r="Q222" s="93">
        <v>0</v>
      </c>
      <c r="R222" s="93">
        <f t="shared" si="52"/>
        <v>0</v>
      </c>
      <c r="S222" s="93">
        <v>8.8999999999999996E-2</v>
      </c>
      <c r="T222" s="94">
        <f t="shared" si="53"/>
        <v>3.1149999999999998</v>
      </c>
      <c r="V222" s="119" t="s">
        <v>953</v>
      </c>
      <c r="AR222" s="95" t="s">
        <v>93</v>
      </c>
      <c r="AT222" s="95" t="s">
        <v>90</v>
      </c>
      <c r="AU222" s="95" t="s">
        <v>94</v>
      </c>
      <c r="AY222" s="7" t="s">
        <v>88</v>
      </c>
      <c r="BE222" s="96">
        <f t="shared" si="54"/>
        <v>0</v>
      </c>
      <c r="BF222" s="96">
        <f t="shared" si="55"/>
        <v>0</v>
      </c>
      <c r="BG222" s="96">
        <f t="shared" si="56"/>
        <v>0</v>
      </c>
      <c r="BH222" s="96">
        <f t="shared" si="57"/>
        <v>0</v>
      </c>
      <c r="BI222" s="96">
        <f t="shared" si="58"/>
        <v>0</v>
      </c>
      <c r="BJ222" s="7" t="s">
        <v>94</v>
      </c>
      <c r="BK222" s="96">
        <f t="shared" si="59"/>
        <v>0</v>
      </c>
      <c r="BL222" s="7" t="s">
        <v>93</v>
      </c>
      <c r="BM222" s="95" t="s">
        <v>328</v>
      </c>
    </row>
    <row r="223" spans="2:65" s="1" customFormat="1" ht="16.5" customHeight="1">
      <c r="B223" s="83"/>
      <c r="C223" s="84">
        <v>76</v>
      </c>
      <c r="D223" s="84" t="s">
        <v>90</v>
      </c>
      <c r="E223" s="85" t="s">
        <v>329</v>
      </c>
      <c r="F223" s="86" t="s">
        <v>330</v>
      </c>
      <c r="G223" s="87" t="s">
        <v>160</v>
      </c>
      <c r="H223" s="88">
        <v>3</v>
      </c>
      <c r="I223" s="89"/>
      <c r="J223" s="89">
        <f t="shared" si="50"/>
        <v>0</v>
      </c>
      <c r="K223" s="90"/>
      <c r="L223" s="15"/>
      <c r="M223" s="91" t="s">
        <v>0</v>
      </c>
      <c r="N223" s="92" t="s">
        <v>23</v>
      </c>
      <c r="O223" s="93">
        <v>0.80462</v>
      </c>
      <c r="P223" s="93">
        <f t="shared" si="51"/>
        <v>2.4138600000000001</v>
      </c>
      <c r="Q223" s="93">
        <v>1.5808E-3</v>
      </c>
      <c r="R223" s="93">
        <f t="shared" si="52"/>
        <v>4.7423999999999999E-3</v>
      </c>
      <c r="S223" s="93">
        <v>0</v>
      </c>
      <c r="T223" s="94">
        <f t="shared" si="53"/>
        <v>0</v>
      </c>
      <c r="V223" s="119" t="s">
        <v>953</v>
      </c>
      <c r="AR223" s="95" t="s">
        <v>93</v>
      </c>
      <c r="AT223" s="95" t="s">
        <v>90</v>
      </c>
      <c r="AU223" s="95" t="s">
        <v>94</v>
      </c>
      <c r="AY223" s="7" t="s">
        <v>88</v>
      </c>
      <c r="BE223" s="96">
        <f t="shared" si="54"/>
        <v>0</v>
      </c>
      <c r="BF223" s="96">
        <f t="shared" si="55"/>
        <v>0</v>
      </c>
      <c r="BG223" s="96">
        <f t="shared" si="56"/>
        <v>0</v>
      </c>
      <c r="BH223" s="96">
        <f t="shared" si="57"/>
        <v>0</v>
      </c>
      <c r="BI223" s="96">
        <f t="shared" si="58"/>
        <v>0</v>
      </c>
      <c r="BJ223" s="7" t="s">
        <v>94</v>
      </c>
      <c r="BK223" s="96">
        <f t="shared" si="59"/>
        <v>0</v>
      </c>
      <c r="BL223" s="7" t="s">
        <v>93</v>
      </c>
      <c r="BM223" s="95" t="s">
        <v>331</v>
      </c>
    </row>
    <row r="224" spans="2:65" s="1" customFormat="1" ht="21.75" customHeight="1">
      <c r="B224" s="83"/>
      <c r="C224" s="84">
        <v>77</v>
      </c>
      <c r="D224" s="84" t="s">
        <v>90</v>
      </c>
      <c r="E224" s="85" t="s">
        <v>332</v>
      </c>
      <c r="F224" s="86" t="s">
        <v>333</v>
      </c>
      <c r="G224" s="87" t="s">
        <v>145</v>
      </c>
      <c r="H224" s="88">
        <v>18</v>
      </c>
      <c r="I224" s="89"/>
      <c r="J224" s="89">
        <f t="shared" si="50"/>
        <v>0</v>
      </c>
      <c r="K224" s="90"/>
      <c r="L224" s="15"/>
      <c r="M224" s="91" t="s">
        <v>0</v>
      </c>
      <c r="N224" s="92" t="s">
        <v>23</v>
      </c>
      <c r="O224" s="93">
        <v>0.59299999999999997</v>
      </c>
      <c r="P224" s="93">
        <f t="shared" si="51"/>
        <v>10.673999999999999</v>
      </c>
      <c r="Q224" s="93">
        <v>0</v>
      </c>
      <c r="R224" s="93">
        <f t="shared" si="52"/>
        <v>0</v>
      </c>
      <c r="S224" s="93">
        <v>0</v>
      </c>
      <c r="T224" s="94">
        <f t="shared" si="53"/>
        <v>0</v>
      </c>
      <c r="V224" s="119" t="s">
        <v>953</v>
      </c>
      <c r="AR224" s="95" t="s">
        <v>93</v>
      </c>
      <c r="AT224" s="95" t="s">
        <v>90</v>
      </c>
      <c r="AU224" s="95" t="s">
        <v>94</v>
      </c>
      <c r="AY224" s="7" t="s">
        <v>88</v>
      </c>
      <c r="BE224" s="96">
        <f t="shared" si="54"/>
        <v>0</v>
      </c>
      <c r="BF224" s="96">
        <f t="shared" si="55"/>
        <v>0</v>
      </c>
      <c r="BG224" s="96">
        <f t="shared" si="56"/>
        <v>0</v>
      </c>
      <c r="BH224" s="96">
        <f t="shared" si="57"/>
        <v>0</v>
      </c>
      <c r="BI224" s="96">
        <f t="shared" si="58"/>
        <v>0</v>
      </c>
      <c r="BJ224" s="7" t="s">
        <v>94</v>
      </c>
      <c r="BK224" s="96">
        <f t="shared" si="59"/>
        <v>0</v>
      </c>
      <c r="BL224" s="7" t="s">
        <v>93</v>
      </c>
      <c r="BM224" s="95" t="s">
        <v>334</v>
      </c>
    </row>
    <row r="225" spans="2:65" s="1" customFormat="1" ht="21.75" customHeight="1">
      <c r="B225" s="83"/>
      <c r="C225" s="84">
        <v>78</v>
      </c>
      <c r="D225" s="84" t="s">
        <v>90</v>
      </c>
      <c r="E225" s="85" t="s">
        <v>335</v>
      </c>
      <c r="F225" s="86" t="s">
        <v>336</v>
      </c>
      <c r="G225" s="87" t="s">
        <v>121</v>
      </c>
      <c r="H225" s="88">
        <f>H228+H229+H230+H231</f>
        <v>194.64500000000001</v>
      </c>
      <c r="I225" s="89"/>
      <c r="J225" s="89">
        <f t="shared" si="50"/>
        <v>0</v>
      </c>
      <c r="K225" s="90"/>
      <c r="L225" s="15"/>
      <c r="M225" s="91" t="s">
        <v>0</v>
      </c>
      <c r="N225" s="92" t="s">
        <v>23</v>
      </c>
      <c r="O225" s="93">
        <v>0.59799999999999998</v>
      </c>
      <c r="P225" s="93">
        <f t="shared" si="51"/>
        <v>116.39771</v>
      </c>
      <c r="Q225" s="93">
        <v>0</v>
      </c>
      <c r="R225" s="93">
        <f t="shared" si="52"/>
        <v>0</v>
      </c>
      <c r="S225" s="93">
        <v>0</v>
      </c>
      <c r="T225" s="94">
        <f t="shared" si="53"/>
        <v>0</v>
      </c>
      <c r="V225" s="119" t="s">
        <v>953</v>
      </c>
      <c r="AR225" s="95" t="s">
        <v>93</v>
      </c>
      <c r="AT225" s="95" t="s">
        <v>90</v>
      </c>
      <c r="AU225" s="95" t="s">
        <v>94</v>
      </c>
      <c r="AY225" s="7" t="s">
        <v>88</v>
      </c>
      <c r="BE225" s="96">
        <f t="shared" si="54"/>
        <v>0</v>
      </c>
      <c r="BF225" s="96">
        <f t="shared" si="55"/>
        <v>0</v>
      </c>
      <c r="BG225" s="96">
        <f t="shared" si="56"/>
        <v>0</v>
      </c>
      <c r="BH225" s="96">
        <f t="shared" si="57"/>
        <v>0</v>
      </c>
      <c r="BI225" s="96">
        <f t="shared" si="58"/>
        <v>0</v>
      </c>
      <c r="BJ225" s="7" t="s">
        <v>94</v>
      </c>
      <c r="BK225" s="96">
        <f t="shared" si="59"/>
        <v>0</v>
      </c>
      <c r="BL225" s="7" t="s">
        <v>93</v>
      </c>
      <c r="BM225" s="95" t="s">
        <v>337</v>
      </c>
    </row>
    <row r="226" spans="2:65" s="1" customFormat="1" ht="24.2" customHeight="1">
      <c r="B226" s="83"/>
      <c r="C226" s="84">
        <v>79</v>
      </c>
      <c r="D226" s="84" t="s">
        <v>90</v>
      </c>
      <c r="E226" s="85" t="s">
        <v>338</v>
      </c>
      <c r="F226" s="86" t="s">
        <v>339</v>
      </c>
      <c r="G226" s="87" t="s">
        <v>121</v>
      </c>
      <c r="H226" s="88">
        <f>H225*20</f>
        <v>3892.9</v>
      </c>
      <c r="I226" s="89"/>
      <c r="J226" s="89">
        <f t="shared" si="50"/>
        <v>0</v>
      </c>
      <c r="K226" s="90"/>
      <c r="L226" s="15"/>
      <c r="M226" s="91" t="s">
        <v>0</v>
      </c>
      <c r="N226" s="92" t="s">
        <v>23</v>
      </c>
      <c r="O226" s="93">
        <v>7.0000000000000001E-3</v>
      </c>
      <c r="P226" s="93">
        <f t="shared" si="51"/>
        <v>27.250300000000003</v>
      </c>
      <c r="Q226" s="93">
        <v>0</v>
      </c>
      <c r="R226" s="93">
        <f t="shared" si="52"/>
        <v>0</v>
      </c>
      <c r="S226" s="93">
        <v>0</v>
      </c>
      <c r="T226" s="94">
        <f t="shared" si="53"/>
        <v>0</v>
      </c>
      <c r="V226" s="119" t="s">
        <v>953</v>
      </c>
      <c r="AR226" s="95" t="s">
        <v>93</v>
      </c>
      <c r="AT226" s="95" t="s">
        <v>90</v>
      </c>
      <c r="AU226" s="95" t="s">
        <v>94</v>
      </c>
      <c r="AY226" s="7" t="s">
        <v>88</v>
      </c>
      <c r="BE226" s="96">
        <f t="shared" si="54"/>
        <v>0</v>
      </c>
      <c r="BF226" s="96">
        <f t="shared" si="55"/>
        <v>0</v>
      </c>
      <c r="BG226" s="96">
        <f t="shared" si="56"/>
        <v>0</v>
      </c>
      <c r="BH226" s="96">
        <f t="shared" si="57"/>
        <v>0</v>
      </c>
      <c r="BI226" s="96">
        <f t="shared" si="58"/>
        <v>0</v>
      </c>
      <c r="BJ226" s="7" t="s">
        <v>94</v>
      </c>
      <c r="BK226" s="96">
        <f t="shared" si="59"/>
        <v>0</v>
      </c>
      <c r="BL226" s="7" t="s">
        <v>93</v>
      </c>
      <c r="BM226" s="95" t="s">
        <v>340</v>
      </c>
    </row>
    <row r="227" spans="2:65" s="1" customFormat="1" ht="24.2" customHeight="1">
      <c r="B227" s="83"/>
      <c r="C227" s="84">
        <v>80</v>
      </c>
      <c r="D227" s="84" t="s">
        <v>90</v>
      </c>
      <c r="E227" s="85" t="s">
        <v>341</v>
      </c>
      <c r="F227" s="86" t="s">
        <v>342</v>
      </c>
      <c r="G227" s="87" t="s">
        <v>121</v>
      </c>
      <c r="H227" s="88">
        <f>H225</f>
        <v>194.64500000000001</v>
      </c>
      <c r="I227" s="89"/>
      <c r="J227" s="89">
        <f t="shared" si="50"/>
        <v>0</v>
      </c>
      <c r="K227" s="90"/>
      <c r="L227" s="15"/>
      <c r="M227" s="91" t="s">
        <v>0</v>
      </c>
      <c r="N227" s="92" t="s">
        <v>23</v>
      </c>
      <c r="O227" s="93">
        <v>0.89</v>
      </c>
      <c r="P227" s="93">
        <f t="shared" si="51"/>
        <v>173.23405000000002</v>
      </c>
      <c r="Q227" s="93">
        <v>0</v>
      </c>
      <c r="R227" s="93">
        <f t="shared" si="52"/>
        <v>0</v>
      </c>
      <c r="S227" s="93">
        <v>0</v>
      </c>
      <c r="T227" s="94">
        <f t="shared" si="53"/>
        <v>0</v>
      </c>
      <c r="V227" s="119" t="s">
        <v>953</v>
      </c>
      <c r="AR227" s="95" t="s">
        <v>93</v>
      </c>
      <c r="AT227" s="95" t="s">
        <v>90</v>
      </c>
      <c r="AU227" s="95" t="s">
        <v>94</v>
      </c>
      <c r="AY227" s="7" t="s">
        <v>88</v>
      </c>
      <c r="BE227" s="96">
        <f t="shared" si="54"/>
        <v>0</v>
      </c>
      <c r="BF227" s="96">
        <f t="shared" si="55"/>
        <v>0</v>
      </c>
      <c r="BG227" s="96">
        <f t="shared" si="56"/>
        <v>0</v>
      </c>
      <c r="BH227" s="96">
        <f t="shared" si="57"/>
        <v>0</v>
      </c>
      <c r="BI227" s="96">
        <f t="shared" si="58"/>
        <v>0</v>
      </c>
      <c r="BJ227" s="7" t="s">
        <v>94</v>
      </c>
      <c r="BK227" s="96">
        <f t="shared" si="59"/>
        <v>0</v>
      </c>
      <c r="BL227" s="7" t="s">
        <v>93</v>
      </c>
      <c r="BM227" s="95" t="s">
        <v>343</v>
      </c>
    </row>
    <row r="228" spans="2:65" s="1" customFormat="1" ht="24.2" customHeight="1">
      <c r="B228" s="83"/>
      <c r="C228" s="84">
        <v>81</v>
      </c>
      <c r="D228" s="84" t="s">
        <v>90</v>
      </c>
      <c r="E228" s="85" t="s">
        <v>344</v>
      </c>
      <c r="F228" s="86" t="s">
        <v>345</v>
      </c>
      <c r="G228" s="87" t="s">
        <v>121</v>
      </c>
      <c r="H228" s="88">
        <v>176.315</v>
      </c>
      <c r="I228" s="89"/>
      <c r="J228" s="89">
        <f t="shared" si="50"/>
        <v>0</v>
      </c>
      <c r="K228" s="90"/>
      <c r="L228" s="15"/>
      <c r="M228" s="91" t="s">
        <v>0</v>
      </c>
      <c r="N228" s="92" t="s">
        <v>23</v>
      </c>
      <c r="O228" s="93">
        <v>0</v>
      </c>
      <c r="P228" s="93">
        <f t="shared" si="51"/>
        <v>0</v>
      </c>
      <c r="Q228" s="93">
        <v>0</v>
      </c>
      <c r="R228" s="93">
        <f t="shared" si="52"/>
        <v>0</v>
      </c>
      <c r="S228" s="93">
        <v>0</v>
      </c>
      <c r="T228" s="94">
        <f t="shared" si="53"/>
        <v>0</v>
      </c>
      <c r="V228" s="125" t="s">
        <v>958</v>
      </c>
      <c r="AR228" s="95" t="s">
        <v>93</v>
      </c>
      <c r="AT228" s="95" t="s">
        <v>90</v>
      </c>
      <c r="AU228" s="95" t="s">
        <v>94</v>
      </c>
      <c r="AY228" s="7" t="s">
        <v>88</v>
      </c>
      <c r="BE228" s="96">
        <f t="shared" si="54"/>
        <v>0</v>
      </c>
      <c r="BF228" s="96">
        <f t="shared" si="55"/>
        <v>0</v>
      </c>
      <c r="BG228" s="96">
        <f t="shared" si="56"/>
        <v>0</v>
      </c>
      <c r="BH228" s="96">
        <f t="shared" si="57"/>
        <v>0</v>
      </c>
      <c r="BI228" s="96">
        <f t="shared" si="58"/>
        <v>0</v>
      </c>
      <c r="BJ228" s="7" t="s">
        <v>94</v>
      </c>
      <c r="BK228" s="96">
        <f t="shared" si="59"/>
        <v>0</v>
      </c>
      <c r="BL228" s="7" t="s">
        <v>93</v>
      </c>
      <c r="BM228" s="95" t="s">
        <v>346</v>
      </c>
    </row>
    <row r="229" spans="2:65" s="1" customFormat="1" ht="24.2" customHeight="1">
      <c r="B229" s="83"/>
      <c r="C229" s="84">
        <v>82</v>
      </c>
      <c r="D229" s="84" t="s">
        <v>90</v>
      </c>
      <c r="E229" s="85" t="s">
        <v>347</v>
      </c>
      <c r="F229" s="86" t="s">
        <v>348</v>
      </c>
      <c r="G229" s="87" t="s">
        <v>121</v>
      </c>
      <c r="H229" s="88">
        <v>9.15</v>
      </c>
      <c r="I229" s="89"/>
      <c r="J229" s="89">
        <f t="shared" si="50"/>
        <v>0</v>
      </c>
      <c r="K229" s="90"/>
      <c r="L229" s="15"/>
      <c r="M229" s="91" t="s">
        <v>0</v>
      </c>
      <c r="N229" s="92" t="s">
        <v>23</v>
      </c>
      <c r="O229" s="93">
        <v>0</v>
      </c>
      <c r="P229" s="93">
        <f t="shared" si="51"/>
        <v>0</v>
      </c>
      <c r="Q229" s="93">
        <v>0</v>
      </c>
      <c r="R229" s="93">
        <f t="shared" si="52"/>
        <v>0</v>
      </c>
      <c r="S229" s="93">
        <v>0</v>
      </c>
      <c r="T229" s="94">
        <f t="shared" si="53"/>
        <v>0</v>
      </c>
      <c r="V229" s="125" t="s">
        <v>958</v>
      </c>
      <c r="AR229" s="95" t="s">
        <v>93</v>
      </c>
      <c r="AT229" s="95" t="s">
        <v>90</v>
      </c>
      <c r="AU229" s="95" t="s">
        <v>94</v>
      </c>
      <c r="AY229" s="7" t="s">
        <v>88</v>
      </c>
      <c r="BE229" s="96">
        <f t="shared" si="54"/>
        <v>0</v>
      </c>
      <c r="BF229" s="96">
        <f t="shared" si="55"/>
        <v>0</v>
      </c>
      <c r="BG229" s="96">
        <f t="shared" si="56"/>
        <v>0</v>
      </c>
      <c r="BH229" s="96">
        <f t="shared" si="57"/>
        <v>0</v>
      </c>
      <c r="BI229" s="96">
        <f t="shared" si="58"/>
        <v>0</v>
      </c>
      <c r="BJ229" s="7" t="s">
        <v>94</v>
      </c>
      <c r="BK229" s="96">
        <f t="shared" si="59"/>
        <v>0</v>
      </c>
      <c r="BL229" s="7" t="s">
        <v>93</v>
      </c>
      <c r="BM229" s="95" t="s">
        <v>349</v>
      </c>
    </row>
    <row r="230" spans="2:65" s="1" customFormat="1" ht="24.2" customHeight="1">
      <c r="B230" s="83"/>
      <c r="C230" s="84">
        <v>83</v>
      </c>
      <c r="D230" s="84" t="s">
        <v>90</v>
      </c>
      <c r="E230" s="85" t="s">
        <v>350</v>
      </c>
      <c r="F230" s="86" t="s">
        <v>351</v>
      </c>
      <c r="G230" s="87" t="s">
        <v>121</v>
      </c>
      <c r="H230" s="88">
        <v>1.65</v>
      </c>
      <c r="I230" s="89"/>
      <c r="J230" s="89">
        <f t="shared" si="50"/>
        <v>0</v>
      </c>
      <c r="K230" s="90"/>
      <c r="L230" s="15"/>
      <c r="M230" s="91" t="s">
        <v>0</v>
      </c>
      <c r="N230" s="92" t="s">
        <v>23</v>
      </c>
      <c r="O230" s="93">
        <v>0</v>
      </c>
      <c r="P230" s="93">
        <f t="shared" si="51"/>
        <v>0</v>
      </c>
      <c r="Q230" s="93">
        <v>0</v>
      </c>
      <c r="R230" s="93">
        <f t="shared" si="52"/>
        <v>0</v>
      </c>
      <c r="S230" s="93">
        <v>0</v>
      </c>
      <c r="T230" s="94">
        <f t="shared" si="53"/>
        <v>0</v>
      </c>
      <c r="V230" s="125" t="s">
        <v>958</v>
      </c>
      <c r="AR230" s="95" t="s">
        <v>93</v>
      </c>
      <c r="AT230" s="95" t="s">
        <v>90</v>
      </c>
      <c r="AU230" s="95" t="s">
        <v>94</v>
      </c>
      <c r="AY230" s="7" t="s">
        <v>88</v>
      </c>
      <c r="BE230" s="96">
        <f t="shared" si="54"/>
        <v>0</v>
      </c>
      <c r="BF230" s="96">
        <f t="shared" si="55"/>
        <v>0</v>
      </c>
      <c r="BG230" s="96">
        <f t="shared" si="56"/>
        <v>0</v>
      </c>
      <c r="BH230" s="96">
        <f t="shared" si="57"/>
        <v>0</v>
      </c>
      <c r="BI230" s="96">
        <f t="shared" si="58"/>
        <v>0</v>
      </c>
      <c r="BJ230" s="7" t="s">
        <v>94</v>
      </c>
      <c r="BK230" s="96">
        <f t="shared" si="59"/>
        <v>0</v>
      </c>
      <c r="BL230" s="7" t="s">
        <v>93</v>
      </c>
      <c r="BM230" s="95" t="s">
        <v>352</v>
      </c>
    </row>
    <row r="231" spans="2:65" s="1" customFormat="1" ht="24.2" customHeight="1">
      <c r="B231" s="83"/>
      <c r="C231" s="84">
        <v>84</v>
      </c>
      <c r="D231" s="84" t="s">
        <v>90</v>
      </c>
      <c r="E231" s="85" t="s">
        <v>353</v>
      </c>
      <c r="F231" s="86" t="s">
        <v>354</v>
      </c>
      <c r="G231" s="87" t="s">
        <v>121</v>
      </c>
      <c r="H231" s="88">
        <v>7.53</v>
      </c>
      <c r="I231" s="89"/>
      <c r="J231" s="89">
        <f t="shared" si="50"/>
        <v>0</v>
      </c>
      <c r="K231" s="90"/>
      <c r="L231" s="15"/>
      <c r="M231" s="91" t="s">
        <v>0</v>
      </c>
      <c r="N231" s="92" t="s">
        <v>23</v>
      </c>
      <c r="O231" s="93">
        <v>0</v>
      </c>
      <c r="P231" s="93">
        <f t="shared" si="51"/>
        <v>0</v>
      </c>
      <c r="Q231" s="93">
        <v>0</v>
      </c>
      <c r="R231" s="93">
        <f t="shared" si="52"/>
        <v>0</v>
      </c>
      <c r="S231" s="93">
        <v>0</v>
      </c>
      <c r="T231" s="94">
        <f t="shared" si="53"/>
        <v>0</v>
      </c>
      <c r="V231" s="125" t="s">
        <v>958</v>
      </c>
      <c r="AR231" s="95" t="s">
        <v>93</v>
      </c>
      <c r="AT231" s="95" t="s">
        <v>90</v>
      </c>
      <c r="AU231" s="95" t="s">
        <v>94</v>
      </c>
      <c r="AY231" s="7" t="s">
        <v>88</v>
      </c>
      <c r="BE231" s="96">
        <f t="shared" si="54"/>
        <v>0</v>
      </c>
      <c r="BF231" s="96">
        <f t="shared" si="55"/>
        <v>0</v>
      </c>
      <c r="BG231" s="96">
        <f t="shared" si="56"/>
        <v>0</v>
      </c>
      <c r="BH231" s="96">
        <f t="shared" si="57"/>
        <v>0</v>
      </c>
      <c r="BI231" s="96">
        <f t="shared" si="58"/>
        <v>0</v>
      </c>
      <c r="BJ231" s="7" t="s">
        <v>94</v>
      </c>
      <c r="BK231" s="96">
        <f t="shared" si="59"/>
        <v>0</v>
      </c>
      <c r="BL231" s="7" t="s">
        <v>93</v>
      </c>
      <c r="BM231" s="95" t="s">
        <v>355</v>
      </c>
    </row>
    <row r="232" spans="2:65" s="1" customFormat="1" ht="16.5" customHeight="1">
      <c r="B232" s="83"/>
      <c r="C232" s="84">
        <v>85</v>
      </c>
      <c r="D232" s="84" t="s">
        <v>90</v>
      </c>
      <c r="E232" s="85" t="s">
        <v>356</v>
      </c>
      <c r="F232" s="86" t="s">
        <v>357</v>
      </c>
      <c r="G232" s="87" t="s">
        <v>160</v>
      </c>
      <c r="H232" s="88">
        <f>H225/8</f>
        <v>24.330625000000001</v>
      </c>
      <c r="I232" s="89"/>
      <c r="J232" s="89">
        <f t="shared" si="50"/>
        <v>0</v>
      </c>
      <c r="K232" s="90"/>
      <c r="L232" s="15"/>
      <c r="M232" s="91" t="s">
        <v>0</v>
      </c>
      <c r="N232" s="92" t="s">
        <v>23</v>
      </c>
      <c r="O232" s="93">
        <v>0</v>
      </c>
      <c r="P232" s="93">
        <f t="shared" si="51"/>
        <v>0</v>
      </c>
      <c r="Q232" s="93">
        <v>0</v>
      </c>
      <c r="R232" s="93">
        <f t="shared" si="52"/>
        <v>0</v>
      </c>
      <c r="S232" s="93">
        <v>0</v>
      </c>
      <c r="T232" s="94">
        <f t="shared" si="53"/>
        <v>0</v>
      </c>
      <c r="V232" s="119" t="s">
        <v>953</v>
      </c>
      <c r="AR232" s="95" t="s">
        <v>93</v>
      </c>
      <c r="AT232" s="95" t="s">
        <v>90</v>
      </c>
      <c r="AU232" s="95" t="s">
        <v>94</v>
      </c>
      <c r="AY232" s="7" t="s">
        <v>88</v>
      </c>
      <c r="BE232" s="96">
        <f t="shared" si="54"/>
        <v>0</v>
      </c>
      <c r="BF232" s="96">
        <f t="shared" si="55"/>
        <v>0</v>
      </c>
      <c r="BG232" s="96">
        <f t="shared" si="56"/>
        <v>0</v>
      </c>
      <c r="BH232" s="96">
        <f t="shared" si="57"/>
        <v>0</v>
      </c>
      <c r="BI232" s="96">
        <f t="shared" si="58"/>
        <v>0</v>
      </c>
      <c r="BJ232" s="7" t="s">
        <v>94</v>
      </c>
      <c r="BK232" s="96">
        <f t="shared" si="59"/>
        <v>0</v>
      </c>
      <c r="BL232" s="7" t="s">
        <v>93</v>
      </c>
      <c r="BM232" s="95" t="s">
        <v>358</v>
      </c>
    </row>
    <row r="233" spans="2:65" s="6" customFormat="1" ht="22.9" customHeight="1">
      <c r="B233" s="72"/>
      <c r="D233" s="73" t="s">
        <v>39</v>
      </c>
      <c r="E233" s="81" t="s">
        <v>232</v>
      </c>
      <c r="F233" s="81" t="s">
        <v>359</v>
      </c>
      <c r="J233" s="82">
        <f>SUM(J234)</f>
        <v>0</v>
      </c>
      <c r="L233" s="72"/>
      <c r="M233" s="76"/>
      <c r="P233" s="77">
        <f>P234</f>
        <v>343.58850000000001</v>
      </c>
      <c r="R233" s="77">
        <f>R234</f>
        <v>0</v>
      </c>
      <c r="T233" s="78">
        <f>T234</f>
        <v>0</v>
      </c>
      <c r="V233"/>
      <c r="AR233" s="73" t="s">
        <v>41</v>
      </c>
      <c r="AT233" s="79" t="s">
        <v>39</v>
      </c>
      <c r="AU233" s="79" t="s">
        <v>41</v>
      </c>
      <c r="AY233" s="73" t="s">
        <v>88</v>
      </c>
      <c r="BK233" s="80">
        <f>BK234</f>
        <v>0</v>
      </c>
    </row>
    <row r="234" spans="2:65" s="1" customFormat="1" ht="24.2" customHeight="1">
      <c r="B234" s="83"/>
      <c r="C234" s="84">
        <v>86</v>
      </c>
      <c r="D234" s="84" t="s">
        <v>90</v>
      </c>
      <c r="E234" s="85" t="s">
        <v>360</v>
      </c>
      <c r="F234" s="86" t="s">
        <v>361</v>
      </c>
      <c r="G234" s="87" t="s">
        <v>121</v>
      </c>
      <c r="H234" s="88">
        <v>139.5</v>
      </c>
      <c r="I234" s="89"/>
      <c r="J234" s="89">
        <f>ROUND(I234*H234,2)</f>
        <v>0</v>
      </c>
      <c r="K234" s="90"/>
      <c r="L234" s="15"/>
      <c r="M234" s="91" t="s">
        <v>0</v>
      </c>
      <c r="N234" s="92" t="s">
        <v>23</v>
      </c>
      <c r="O234" s="93">
        <v>2.4630000000000001</v>
      </c>
      <c r="P234" s="93">
        <f>O234*H234</f>
        <v>343.58850000000001</v>
      </c>
      <c r="Q234" s="93">
        <v>0</v>
      </c>
      <c r="R234" s="93">
        <f>Q234*H234</f>
        <v>0</v>
      </c>
      <c r="S234" s="93">
        <v>0</v>
      </c>
      <c r="T234" s="94">
        <f>S234*H234</f>
        <v>0</v>
      </c>
      <c r="V234" s="121" t="s">
        <v>957</v>
      </c>
      <c r="AR234" s="95" t="s">
        <v>93</v>
      </c>
      <c r="AT234" s="95" t="s">
        <v>90</v>
      </c>
      <c r="AU234" s="95" t="s">
        <v>94</v>
      </c>
      <c r="AY234" s="7" t="s">
        <v>88</v>
      </c>
      <c r="BE234" s="96">
        <f>IF(N234="základná",J234,0)</f>
        <v>0</v>
      </c>
      <c r="BF234" s="96">
        <f>IF(N234="znížená",J234,0)</f>
        <v>0</v>
      </c>
      <c r="BG234" s="96">
        <f>IF(N234="zákl. prenesená",J234,0)</f>
        <v>0</v>
      </c>
      <c r="BH234" s="96">
        <f>IF(N234="zníž. prenesená",J234,0)</f>
        <v>0</v>
      </c>
      <c r="BI234" s="96">
        <f>IF(N234="nulová",J234,0)</f>
        <v>0</v>
      </c>
      <c r="BJ234" s="7" t="s">
        <v>94</v>
      </c>
      <c r="BK234" s="96">
        <f>ROUND(I234*H234,2)</f>
        <v>0</v>
      </c>
      <c r="BL234" s="7" t="s">
        <v>93</v>
      </c>
      <c r="BM234" s="95" t="s">
        <v>362</v>
      </c>
    </row>
    <row r="235" spans="2:65" s="6" customFormat="1" ht="25.9" customHeight="1">
      <c r="B235" s="72"/>
      <c r="D235" s="73" t="s">
        <v>39</v>
      </c>
      <c r="E235" s="74" t="s">
        <v>363</v>
      </c>
      <c r="F235" s="74" t="s">
        <v>364</v>
      </c>
      <c r="J235" s="75">
        <f>J236+J247+J255+J263+J278+J290+J324+J327+J357+J407+J414+J424+J432+J438+J443</f>
        <v>0</v>
      </c>
      <c r="L235" s="72"/>
      <c r="M235" s="76"/>
      <c r="P235" s="77" t="e">
        <f>P236+#REF!+P247+P255+P263+P278+P290+P324+P327+P357+P407+P414+P424+#REF!+P432+P438+P443</f>
        <v>#REF!</v>
      </c>
      <c r="R235" s="77" t="e">
        <f>R236+#REF!+R247+R255+R263+R278+R290+R324+R327+R357+R407+R414+R424+#REF!+R432+R438+R443</f>
        <v>#REF!</v>
      </c>
      <c r="T235" s="78" t="e">
        <f>T236+#REF!+T247+T255+T263+T278+T290+T324+T327+T357+T407+T414+T424+#REF!+T432+T438+T443</f>
        <v>#REF!</v>
      </c>
      <c r="V235"/>
      <c r="AR235" s="73" t="s">
        <v>94</v>
      </c>
      <c r="AT235" s="79" t="s">
        <v>39</v>
      </c>
      <c r="AU235" s="79" t="s">
        <v>40</v>
      </c>
      <c r="AY235" s="73" t="s">
        <v>88</v>
      </c>
      <c r="BK235" s="80" t="e">
        <f>BK236+#REF!+BK247+BK255+BK263+BK278+BK290+BK324+BK327+BK357+BK407+BK414+BK424+#REF!+BK432+BK438+BK443</f>
        <v>#REF!</v>
      </c>
    </row>
    <row r="236" spans="2:65" s="6" customFormat="1" ht="22.9" customHeight="1">
      <c r="B236" s="72"/>
      <c r="D236" s="73" t="s">
        <v>39</v>
      </c>
      <c r="E236" s="81" t="s">
        <v>365</v>
      </c>
      <c r="F236" s="81" t="s">
        <v>366</v>
      </c>
      <c r="J236" s="82">
        <f>SUM(J237:J246)</f>
        <v>0</v>
      </c>
      <c r="L236" s="72"/>
      <c r="M236" s="76"/>
      <c r="P236" s="77">
        <f>SUM(P237:P246)</f>
        <v>46.890912229999998</v>
      </c>
      <c r="R236" s="77">
        <f>SUM(R237:R246)</f>
        <v>0.26793869226</v>
      </c>
      <c r="T236" s="78">
        <f>SUM(T237:T246)</f>
        <v>0</v>
      </c>
      <c r="V236"/>
      <c r="AR236" s="73" t="s">
        <v>94</v>
      </c>
      <c r="AT236" s="79" t="s">
        <v>39</v>
      </c>
      <c r="AU236" s="79" t="s">
        <v>41</v>
      </c>
      <c r="AY236" s="73" t="s">
        <v>88</v>
      </c>
      <c r="BK236" s="80">
        <f>SUM(BK237:BK246)</f>
        <v>0</v>
      </c>
    </row>
    <row r="237" spans="2:65" s="1" customFormat="1" ht="24.2" customHeight="1">
      <c r="B237" s="83"/>
      <c r="C237" s="84">
        <v>87</v>
      </c>
      <c r="D237" s="84" t="s">
        <v>90</v>
      </c>
      <c r="E237" s="85" t="s">
        <v>367</v>
      </c>
      <c r="F237" s="86" t="s">
        <v>368</v>
      </c>
      <c r="G237" s="87" t="s">
        <v>135</v>
      </c>
      <c r="H237" s="88">
        <v>11.590999999999999</v>
      </c>
      <c r="I237" s="89"/>
      <c r="J237" s="89">
        <f t="shared" ref="J237:J246" si="60">ROUND(I237*H237,2)</f>
        <v>0</v>
      </c>
      <c r="K237" s="90"/>
      <c r="L237" s="15"/>
      <c r="M237" s="91" t="s">
        <v>0</v>
      </c>
      <c r="N237" s="92" t="s">
        <v>23</v>
      </c>
      <c r="O237" s="93">
        <v>1.303E-2</v>
      </c>
      <c r="P237" s="93">
        <f t="shared" ref="P237:P246" si="61">O237*H237</f>
        <v>0.15103073</v>
      </c>
      <c r="Q237" s="93">
        <v>0</v>
      </c>
      <c r="R237" s="93">
        <f t="shared" ref="R237:R246" si="62">Q237*H237</f>
        <v>0</v>
      </c>
      <c r="S237" s="93">
        <v>0</v>
      </c>
      <c r="T237" s="94">
        <f t="shared" ref="T237:T246" si="63">S237*H237</f>
        <v>0</v>
      </c>
      <c r="V237" s="120" t="s">
        <v>948</v>
      </c>
      <c r="AR237" s="95" t="s">
        <v>147</v>
      </c>
      <c r="AT237" s="95" t="s">
        <v>90</v>
      </c>
      <c r="AU237" s="95" t="s">
        <v>94</v>
      </c>
      <c r="AY237" s="7" t="s">
        <v>88</v>
      </c>
      <c r="BE237" s="96">
        <f t="shared" ref="BE237:BE246" si="64">IF(N237="základná",J237,0)</f>
        <v>0</v>
      </c>
      <c r="BF237" s="96">
        <f t="shared" ref="BF237:BF246" si="65">IF(N237="znížená",J237,0)</f>
        <v>0</v>
      </c>
      <c r="BG237" s="96">
        <f t="shared" ref="BG237:BG246" si="66">IF(N237="zákl. prenesená",J237,0)</f>
        <v>0</v>
      </c>
      <c r="BH237" s="96">
        <f t="shared" ref="BH237:BH246" si="67">IF(N237="zníž. prenesená",J237,0)</f>
        <v>0</v>
      </c>
      <c r="BI237" s="96">
        <f t="shared" ref="BI237:BI246" si="68">IF(N237="nulová",J237,0)</f>
        <v>0</v>
      </c>
      <c r="BJ237" s="7" t="s">
        <v>94</v>
      </c>
      <c r="BK237" s="96">
        <f t="shared" ref="BK237:BK246" si="69">ROUND(I237*H237,2)</f>
        <v>0</v>
      </c>
      <c r="BL237" s="7" t="s">
        <v>147</v>
      </c>
      <c r="BM237" s="95" t="s">
        <v>369</v>
      </c>
    </row>
    <row r="238" spans="2:65" s="1" customFormat="1" ht="24.2" customHeight="1">
      <c r="B238" s="83"/>
      <c r="C238" s="84">
        <v>88</v>
      </c>
      <c r="D238" s="84" t="s">
        <v>90</v>
      </c>
      <c r="E238" s="85" t="s">
        <v>370</v>
      </c>
      <c r="F238" s="86" t="s">
        <v>371</v>
      </c>
      <c r="G238" s="87" t="s">
        <v>135</v>
      </c>
      <c r="H238" s="88">
        <v>115.91</v>
      </c>
      <c r="I238" s="89"/>
      <c r="J238" s="89">
        <f t="shared" si="60"/>
        <v>0</v>
      </c>
      <c r="K238" s="90"/>
      <c r="L238" s="15"/>
      <c r="M238" s="91" t="s">
        <v>0</v>
      </c>
      <c r="N238" s="92" t="s">
        <v>23</v>
      </c>
      <c r="O238" s="93">
        <v>1.6029999999999999E-2</v>
      </c>
      <c r="P238" s="93">
        <f t="shared" si="61"/>
        <v>1.8580372999999999</v>
      </c>
      <c r="Q238" s="93">
        <v>0</v>
      </c>
      <c r="R238" s="93">
        <f t="shared" si="62"/>
        <v>0</v>
      </c>
      <c r="S238" s="93">
        <v>0</v>
      </c>
      <c r="T238" s="94">
        <f t="shared" si="63"/>
        <v>0</v>
      </c>
      <c r="V238" s="120" t="s">
        <v>948</v>
      </c>
      <c r="AR238" s="95" t="s">
        <v>147</v>
      </c>
      <c r="AT238" s="95" t="s">
        <v>90</v>
      </c>
      <c r="AU238" s="95" t="s">
        <v>94</v>
      </c>
      <c r="AY238" s="7" t="s">
        <v>88</v>
      </c>
      <c r="BE238" s="96">
        <f t="shared" si="64"/>
        <v>0</v>
      </c>
      <c r="BF238" s="96">
        <f t="shared" si="65"/>
        <v>0</v>
      </c>
      <c r="BG238" s="96">
        <f t="shared" si="66"/>
        <v>0</v>
      </c>
      <c r="BH238" s="96">
        <f t="shared" si="67"/>
        <v>0</v>
      </c>
      <c r="BI238" s="96">
        <f t="shared" si="68"/>
        <v>0</v>
      </c>
      <c r="BJ238" s="7" t="s">
        <v>94</v>
      </c>
      <c r="BK238" s="96">
        <f t="shared" si="69"/>
        <v>0</v>
      </c>
      <c r="BL238" s="7" t="s">
        <v>147</v>
      </c>
      <c r="BM238" s="95" t="s">
        <v>372</v>
      </c>
    </row>
    <row r="239" spans="2:65" s="1" customFormat="1" ht="24.2" customHeight="1">
      <c r="B239" s="83"/>
      <c r="C239" s="97">
        <v>89</v>
      </c>
      <c r="D239" s="97" t="s">
        <v>138</v>
      </c>
      <c r="E239" s="98" t="s">
        <v>373</v>
      </c>
      <c r="F239" s="99" t="s">
        <v>374</v>
      </c>
      <c r="G239" s="100" t="s">
        <v>160</v>
      </c>
      <c r="H239" s="101">
        <f>(H238+H237)*0.03</f>
        <v>3.8250299999999995</v>
      </c>
      <c r="I239" s="102"/>
      <c r="J239" s="102">
        <f t="shared" si="60"/>
        <v>0</v>
      </c>
      <c r="K239" s="103"/>
      <c r="L239" s="15"/>
      <c r="M239" s="105" t="s">
        <v>0</v>
      </c>
      <c r="N239" s="106" t="s">
        <v>23</v>
      </c>
      <c r="O239" s="93">
        <v>0</v>
      </c>
      <c r="P239" s="93">
        <f t="shared" si="61"/>
        <v>0</v>
      </c>
      <c r="Q239" s="93">
        <v>0</v>
      </c>
      <c r="R239" s="93">
        <f t="shared" si="62"/>
        <v>0</v>
      </c>
      <c r="S239" s="93">
        <v>0</v>
      </c>
      <c r="T239" s="94">
        <f t="shared" si="63"/>
        <v>0</v>
      </c>
      <c r="V239" s="120" t="s">
        <v>948</v>
      </c>
      <c r="AR239" s="95" t="s">
        <v>162</v>
      </c>
      <c r="AT239" s="95" t="s">
        <v>138</v>
      </c>
      <c r="AU239" s="95" t="s">
        <v>94</v>
      </c>
      <c r="AY239" s="7" t="s">
        <v>88</v>
      </c>
      <c r="BE239" s="96">
        <f t="shared" si="64"/>
        <v>0</v>
      </c>
      <c r="BF239" s="96">
        <f t="shared" si="65"/>
        <v>0</v>
      </c>
      <c r="BG239" s="96">
        <f t="shared" si="66"/>
        <v>0</v>
      </c>
      <c r="BH239" s="96">
        <f t="shared" si="67"/>
        <v>0</v>
      </c>
      <c r="BI239" s="96">
        <f t="shared" si="68"/>
        <v>0</v>
      </c>
      <c r="BJ239" s="7" t="s">
        <v>94</v>
      </c>
      <c r="BK239" s="96">
        <f t="shared" si="69"/>
        <v>0</v>
      </c>
      <c r="BL239" s="7" t="s">
        <v>147</v>
      </c>
      <c r="BM239" s="95" t="s">
        <v>375</v>
      </c>
    </row>
    <row r="240" spans="2:65" s="1" customFormat="1" ht="24.2" customHeight="1">
      <c r="B240" s="83"/>
      <c r="C240" s="84">
        <v>90</v>
      </c>
      <c r="D240" s="84" t="s">
        <v>90</v>
      </c>
      <c r="E240" s="85" t="s">
        <v>376</v>
      </c>
      <c r="F240" s="86" t="s">
        <v>377</v>
      </c>
      <c r="G240" s="87" t="s">
        <v>135</v>
      </c>
      <c r="H240" s="88">
        <v>11.590999999999999</v>
      </c>
      <c r="I240" s="89"/>
      <c r="J240" s="89">
        <f t="shared" si="60"/>
        <v>0</v>
      </c>
      <c r="K240" s="90"/>
      <c r="L240" s="15"/>
      <c r="M240" s="91" t="s">
        <v>0</v>
      </c>
      <c r="N240" s="92" t="s">
        <v>23</v>
      </c>
      <c r="O240" s="93">
        <v>0.21099999999999999</v>
      </c>
      <c r="P240" s="93">
        <f t="shared" si="61"/>
        <v>2.4457009999999997</v>
      </c>
      <c r="Q240" s="93">
        <v>5.4226000000000003E-4</v>
      </c>
      <c r="R240" s="93">
        <f t="shared" si="62"/>
        <v>6.2853356600000004E-3</v>
      </c>
      <c r="S240" s="93">
        <v>0</v>
      </c>
      <c r="T240" s="94">
        <f t="shared" si="63"/>
        <v>0</v>
      </c>
      <c r="V240" s="120" t="s">
        <v>948</v>
      </c>
      <c r="AR240" s="95" t="s">
        <v>147</v>
      </c>
      <c r="AT240" s="95" t="s">
        <v>90</v>
      </c>
      <c r="AU240" s="95" t="s">
        <v>94</v>
      </c>
      <c r="AY240" s="7" t="s">
        <v>88</v>
      </c>
      <c r="BE240" s="96">
        <f t="shared" si="64"/>
        <v>0</v>
      </c>
      <c r="BF240" s="96">
        <f t="shared" si="65"/>
        <v>0</v>
      </c>
      <c r="BG240" s="96">
        <f t="shared" si="66"/>
        <v>0</v>
      </c>
      <c r="BH240" s="96">
        <f t="shared" si="67"/>
        <v>0</v>
      </c>
      <c r="BI240" s="96">
        <f t="shared" si="68"/>
        <v>0</v>
      </c>
      <c r="BJ240" s="7" t="s">
        <v>94</v>
      </c>
      <c r="BK240" s="96">
        <f t="shared" si="69"/>
        <v>0</v>
      </c>
      <c r="BL240" s="7" t="s">
        <v>147</v>
      </c>
      <c r="BM240" s="95" t="s">
        <v>378</v>
      </c>
    </row>
    <row r="241" spans="2:65" s="1" customFormat="1" ht="24.2" customHeight="1">
      <c r="B241" s="83"/>
      <c r="C241" s="84">
        <v>91</v>
      </c>
      <c r="D241" s="84" t="s">
        <v>90</v>
      </c>
      <c r="E241" s="85" t="s">
        <v>379</v>
      </c>
      <c r="F241" s="86" t="s">
        <v>380</v>
      </c>
      <c r="G241" s="87" t="s">
        <v>135</v>
      </c>
      <c r="H241" s="88">
        <v>115.91</v>
      </c>
      <c r="I241" s="89"/>
      <c r="J241" s="89">
        <f t="shared" si="60"/>
        <v>0</v>
      </c>
      <c r="K241" s="90"/>
      <c r="L241" s="15"/>
      <c r="M241" s="91" t="s">
        <v>0</v>
      </c>
      <c r="N241" s="92" t="s">
        <v>23</v>
      </c>
      <c r="O241" s="93">
        <v>0.23102</v>
      </c>
      <c r="P241" s="93">
        <f t="shared" si="61"/>
        <v>26.777528199999999</v>
      </c>
      <c r="Q241" s="93">
        <v>5.4226000000000003E-4</v>
      </c>
      <c r="R241" s="93">
        <f t="shared" si="62"/>
        <v>6.2853356600000007E-2</v>
      </c>
      <c r="S241" s="93">
        <v>0</v>
      </c>
      <c r="T241" s="94">
        <f t="shared" si="63"/>
        <v>0</v>
      </c>
      <c r="V241" s="120" t="s">
        <v>948</v>
      </c>
      <c r="AR241" s="95" t="s">
        <v>147</v>
      </c>
      <c r="AT241" s="95" t="s">
        <v>90</v>
      </c>
      <c r="AU241" s="95" t="s">
        <v>94</v>
      </c>
      <c r="AY241" s="7" t="s">
        <v>88</v>
      </c>
      <c r="BE241" s="96">
        <f t="shared" si="64"/>
        <v>0</v>
      </c>
      <c r="BF241" s="96">
        <f t="shared" si="65"/>
        <v>0</v>
      </c>
      <c r="BG241" s="96">
        <f t="shared" si="66"/>
        <v>0</v>
      </c>
      <c r="BH241" s="96">
        <f t="shared" si="67"/>
        <v>0</v>
      </c>
      <c r="BI241" s="96">
        <f t="shared" si="68"/>
        <v>0</v>
      </c>
      <c r="BJ241" s="7" t="s">
        <v>94</v>
      </c>
      <c r="BK241" s="96">
        <f t="shared" si="69"/>
        <v>0</v>
      </c>
      <c r="BL241" s="7" t="s">
        <v>147</v>
      </c>
      <c r="BM241" s="95" t="s">
        <v>381</v>
      </c>
    </row>
    <row r="242" spans="2:65" s="1" customFormat="1" ht="24.2" customHeight="1">
      <c r="B242" s="83"/>
      <c r="C242" s="97">
        <v>92</v>
      </c>
      <c r="D242" s="97" t="s">
        <v>138</v>
      </c>
      <c r="E242" s="98" t="s">
        <v>382</v>
      </c>
      <c r="F242" s="99" t="s">
        <v>383</v>
      </c>
      <c r="G242" s="100" t="s">
        <v>135</v>
      </c>
      <c r="H242" s="101">
        <f>H241+H240</f>
        <v>127.50099999999999</v>
      </c>
      <c r="I242" s="102"/>
      <c r="J242" s="102">
        <f t="shared" si="60"/>
        <v>0</v>
      </c>
      <c r="K242" s="103"/>
      <c r="L242" s="15"/>
      <c r="M242" s="105" t="s">
        <v>0</v>
      </c>
      <c r="N242" s="106" t="s">
        <v>23</v>
      </c>
      <c r="O242" s="93">
        <v>0</v>
      </c>
      <c r="P242" s="93">
        <f t="shared" si="61"/>
        <v>0</v>
      </c>
      <c r="Q242" s="93">
        <v>0</v>
      </c>
      <c r="R242" s="93">
        <f t="shared" si="62"/>
        <v>0</v>
      </c>
      <c r="S242" s="93">
        <v>0</v>
      </c>
      <c r="T242" s="94">
        <f t="shared" si="63"/>
        <v>0</v>
      </c>
      <c r="V242" s="120" t="s">
        <v>948</v>
      </c>
      <c r="AR242" s="95" t="s">
        <v>162</v>
      </c>
      <c r="AT242" s="95" t="s">
        <v>138</v>
      </c>
      <c r="AU242" s="95" t="s">
        <v>94</v>
      </c>
      <c r="AY242" s="7" t="s">
        <v>88</v>
      </c>
      <c r="BE242" s="96">
        <f t="shared" si="64"/>
        <v>0</v>
      </c>
      <c r="BF242" s="96">
        <f t="shared" si="65"/>
        <v>0</v>
      </c>
      <c r="BG242" s="96">
        <f t="shared" si="66"/>
        <v>0</v>
      </c>
      <c r="BH242" s="96">
        <f t="shared" si="67"/>
        <v>0</v>
      </c>
      <c r="BI242" s="96">
        <f t="shared" si="68"/>
        <v>0</v>
      </c>
      <c r="BJ242" s="7" t="s">
        <v>94</v>
      </c>
      <c r="BK242" s="96">
        <f t="shared" si="69"/>
        <v>0</v>
      </c>
      <c r="BL242" s="7" t="s">
        <v>147</v>
      </c>
      <c r="BM242" s="95" t="s">
        <v>384</v>
      </c>
    </row>
    <row r="243" spans="2:65" s="1" customFormat="1" ht="16.5" customHeight="1">
      <c r="B243" s="83"/>
      <c r="C243" s="84">
        <v>93</v>
      </c>
      <c r="D243" s="84" t="s">
        <v>90</v>
      </c>
      <c r="E243" s="85" t="s">
        <v>385</v>
      </c>
      <c r="F243" s="86" t="s">
        <v>967</v>
      </c>
      <c r="G243" s="87" t="s">
        <v>135</v>
      </c>
      <c r="H243" s="88">
        <v>35.5</v>
      </c>
      <c r="I243" s="89"/>
      <c r="J243" s="89">
        <f t="shared" si="60"/>
        <v>0</v>
      </c>
      <c r="K243" s="90"/>
      <c r="L243" s="15"/>
      <c r="M243" s="91" t="s">
        <v>0</v>
      </c>
      <c r="N243" s="92" t="s">
        <v>23</v>
      </c>
      <c r="O243" s="93">
        <v>0.14202999999999999</v>
      </c>
      <c r="P243" s="93">
        <f t="shared" si="61"/>
        <v>5.042065</v>
      </c>
      <c r="Q243" s="93">
        <v>2.0999999999999999E-3</v>
      </c>
      <c r="R243" s="93">
        <f t="shared" si="62"/>
        <v>7.4549999999999991E-2</v>
      </c>
      <c r="S243" s="93">
        <v>0</v>
      </c>
      <c r="T243" s="94">
        <f t="shared" si="63"/>
        <v>0</v>
      </c>
      <c r="V243" s="127" t="s">
        <v>956</v>
      </c>
      <c r="AR243" s="95" t="s">
        <v>147</v>
      </c>
      <c r="AT243" s="95" t="s">
        <v>90</v>
      </c>
      <c r="AU243" s="95" t="s">
        <v>94</v>
      </c>
      <c r="AY243" s="7" t="s">
        <v>88</v>
      </c>
      <c r="BE243" s="96">
        <f t="shared" si="64"/>
        <v>0</v>
      </c>
      <c r="BF243" s="96">
        <f t="shared" si="65"/>
        <v>0</v>
      </c>
      <c r="BG243" s="96">
        <f t="shared" si="66"/>
        <v>0</v>
      </c>
      <c r="BH243" s="96">
        <f t="shared" si="67"/>
        <v>0</v>
      </c>
      <c r="BI243" s="96">
        <f t="shared" si="68"/>
        <v>0</v>
      </c>
      <c r="BJ243" s="7" t="s">
        <v>94</v>
      </c>
      <c r="BK243" s="96">
        <f t="shared" si="69"/>
        <v>0</v>
      </c>
      <c r="BL243" s="7" t="s">
        <v>147</v>
      </c>
      <c r="BM243" s="95" t="s">
        <v>386</v>
      </c>
    </row>
    <row r="244" spans="2:65" s="1" customFormat="1" ht="16.5" customHeight="1">
      <c r="B244" s="83"/>
      <c r="C244" s="84">
        <v>94</v>
      </c>
      <c r="D244" s="84" t="s">
        <v>90</v>
      </c>
      <c r="E244" s="85" t="s">
        <v>387</v>
      </c>
      <c r="F244" s="86" t="s">
        <v>968</v>
      </c>
      <c r="G244" s="87" t="s">
        <v>135</v>
      </c>
      <c r="H244" s="88">
        <f>H245*1.5</f>
        <v>52.5</v>
      </c>
      <c r="I244" s="89"/>
      <c r="J244" s="89">
        <f t="shared" si="60"/>
        <v>0</v>
      </c>
      <c r="K244" s="90"/>
      <c r="L244" s="15"/>
      <c r="M244" s="91" t="s">
        <v>0</v>
      </c>
      <c r="N244" s="92" t="s">
        <v>23</v>
      </c>
      <c r="O244" s="93">
        <v>0.20222000000000001</v>
      </c>
      <c r="P244" s="93">
        <f t="shared" si="61"/>
        <v>10.61655</v>
      </c>
      <c r="Q244" s="93">
        <v>2.3E-3</v>
      </c>
      <c r="R244" s="93">
        <f t="shared" si="62"/>
        <v>0.12075</v>
      </c>
      <c r="S244" s="93">
        <v>0</v>
      </c>
      <c r="T244" s="94">
        <f t="shared" si="63"/>
        <v>0</v>
      </c>
      <c r="V244" s="127" t="s">
        <v>956</v>
      </c>
      <c r="AR244" s="95" t="s">
        <v>147</v>
      </c>
      <c r="AT244" s="95" t="s">
        <v>90</v>
      </c>
      <c r="AU244" s="95" t="s">
        <v>94</v>
      </c>
      <c r="AY244" s="7" t="s">
        <v>88</v>
      </c>
      <c r="BE244" s="96">
        <f t="shared" si="64"/>
        <v>0</v>
      </c>
      <c r="BF244" s="96">
        <f t="shared" si="65"/>
        <v>0</v>
      </c>
      <c r="BG244" s="96">
        <f t="shared" si="66"/>
        <v>0</v>
      </c>
      <c r="BH244" s="96">
        <f t="shared" si="67"/>
        <v>0</v>
      </c>
      <c r="BI244" s="96">
        <f t="shared" si="68"/>
        <v>0</v>
      </c>
      <c r="BJ244" s="7" t="s">
        <v>94</v>
      </c>
      <c r="BK244" s="96">
        <f t="shared" si="69"/>
        <v>0</v>
      </c>
      <c r="BL244" s="7" t="s">
        <v>147</v>
      </c>
      <c r="BM244" s="95" t="s">
        <v>388</v>
      </c>
    </row>
    <row r="245" spans="2:65" s="1" customFormat="1" ht="49.15" customHeight="1">
      <c r="B245" s="83"/>
      <c r="C245" s="97">
        <v>95</v>
      </c>
      <c r="D245" s="97" t="s">
        <v>138</v>
      </c>
      <c r="E245" s="98" t="s">
        <v>389</v>
      </c>
      <c r="F245" s="99" t="s">
        <v>390</v>
      </c>
      <c r="G245" s="100" t="s">
        <v>145</v>
      </c>
      <c r="H245" s="101">
        <v>35</v>
      </c>
      <c r="I245" s="102"/>
      <c r="J245" s="102">
        <f t="shared" si="60"/>
        <v>0</v>
      </c>
      <c r="K245" s="103"/>
      <c r="L245" s="15"/>
      <c r="M245" s="105" t="s">
        <v>0</v>
      </c>
      <c r="N245" s="106" t="s">
        <v>23</v>
      </c>
      <c r="O245" s="93">
        <v>0</v>
      </c>
      <c r="P245" s="93">
        <f t="shared" si="61"/>
        <v>0</v>
      </c>
      <c r="Q245" s="93">
        <v>1E-4</v>
      </c>
      <c r="R245" s="93">
        <f t="shared" si="62"/>
        <v>3.5000000000000001E-3</v>
      </c>
      <c r="S245" s="93">
        <v>0</v>
      </c>
      <c r="T245" s="94">
        <f t="shared" si="63"/>
        <v>0</v>
      </c>
      <c r="V245" s="127" t="s">
        <v>956</v>
      </c>
      <c r="AR245" s="95" t="s">
        <v>162</v>
      </c>
      <c r="AT245" s="95" t="s">
        <v>138</v>
      </c>
      <c r="AU245" s="95" t="s">
        <v>94</v>
      </c>
      <c r="AY245" s="7" t="s">
        <v>88</v>
      </c>
      <c r="BE245" s="96">
        <f t="shared" si="64"/>
        <v>0</v>
      </c>
      <c r="BF245" s="96">
        <f t="shared" si="65"/>
        <v>0</v>
      </c>
      <c r="BG245" s="96">
        <f t="shared" si="66"/>
        <v>0</v>
      </c>
      <c r="BH245" s="96">
        <f t="shared" si="67"/>
        <v>0</v>
      </c>
      <c r="BI245" s="96">
        <f t="shared" si="68"/>
        <v>0</v>
      </c>
      <c r="BJ245" s="7" t="s">
        <v>94</v>
      </c>
      <c r="BK245" s="96">
        <f t="shared" si="69"/>
        <v>0</v>
      </c>
      <c r="BL245" s="7" t="s">
        <v>147</v>
      </c>
      <c r="BM245" s="95" t="s">
        <v>391</v>
      </c>
    </row>
    <row r="246" spans="2:65" s="1" customFormat="1" ht="24.2" customHeight="1">
      <c r="B246" s="83"/>
      <c r="C246" s="84">
        <v>96</v>
      </c>
      <c r="D246" s="84" t="s">
        <v>90</v>
      </c>
      <c r="E246" s="85" t="s">
        <v>392</v>
      </c>
      <c r="F246" s="86" t="s">
        <v>393</v>
      </c>
      <c r="G246" s="87" t="s">
        <v>394</v>
      </c>
      <c r="H246" s="88">
        <v>97.62</v>
      </c>
      <c r="I246" s="89"/>
      <c r="J246" s="89">
        <f t="shared" si="60"/>
        <v>0</v>
      </c>
      <c r="K246" s="90"/>
      <c r="L246" s="15"/>
      <c r="M246" s="91" t="s">
        <v>0</v>
      </c>
      <c r="N246" s="92" t="s">
        <v>23</v>
      </c>
      <c r="O246" s="93">
        <v>0</v>
      </c>
      <c r="P246" s="93">
        <f t="shared" si="61"/>
        <v>0</v>
      </c>
      <c r="Q246" s="93">
        <v>0</v>
      </c>
      <c r="R246" s="93">
        <f t="shared" si="62"/>
        <v>0</v>
      </c>
      <c r="S246" s="93">
        <v>0</v>
      </c>
      <c r="T246" s="94">
        <f t="shared" si="63"/>
        <v>0</v>
      </c>
      <c r="V246" s="127" t="s">
        <v>956</v>
      </c>
      <c r="AR246" s="95" t="s">
        <v>147</v>
      </c>
      <c r="AT246" s="95" t="s">
        <v>90</v>
      </c>
      <c r="AU246" s="95" t="s">
        <v>94</v>
      </c>
      <c r="AY246" s="7" t="s">
        <v>88</v>
      </c>
      <c r="BE246" s="96">
        <f t="shared" si="64"/>
        <v>0</v>
      </c>
      <c r="BF246" s="96">
        <f t="shared" si="65"/>
        <v>0</v>
      </c>
      <c r="BG246" s="96">
        <f t="shared" si="66"/>
        <v>0</v>
      </c>
      <c r="BH246" s="96">
        <f t="shared" si="67"/>
        <v>0</v>
      </c>
      <c r="BI246" s="96">
        <f t="shared" si="68"/>
        <v>0</v>
      </c>
      <c r="BJ246" s="7" t="s">
        <v>94</v>
      </c>
      <c r="BK246" s="96">
        <f t="shared" si="69"/>
        <v>0</v>
      </c>
      <c r="BL246" s="7" t="s">
        <v>147</v>
      </c>
      <c r="BM246" s="95" t="s">
        <v>395</v>
      </c>
    </row>
    <row r="247" spans="2:65" s="6" customFormat="1" ht="22.9" customHeight="1">
      <c r="B247" s="72"/>
      <c r="D247" s="73" t="s">
        <v>39</v>
      </c>
      <c r="E247" s="81" t="s">
        <v>396</v>
      </c>
      <c r="F247" s="81" t="s">
        <v>397</v>
      </c>
      <c r="J247" s="82">
        <f>SUM(J248:J254)</f>
        <v>0</v>
      </c>
      <c r="L247" s="72"/>
      <c r="M247" s="76"/>
      <c r="P247" s="77">
        <f>SUM(P248:P254)</f>
        <v>161.50117524999999</v>
      </c>
      <c r="R247" s="77">
        <f>SUM(R248:R254)</f>
        <v>10.774744077499999</v>
      </c>
      <c r="T247" s="78">
        <f>SUM(T248:T254)</f>
        <v>0</v>
      </c>
      <c r="V247"/>
      <c r="AR247" s="73" t="s">
        <v>94</v>
      </c>
      <c r="AT247" s="79" t="s">
        <v>39</v>
      </c>
      <c r="AU247" s="79" t="s">
        <v>41</v>
      </c>
      <c r="AY247" s="73" t="s">
        <v>88</v>
      </c>
      <c r="BK247" s="80">
        <f>SUM(BK248:BK254)</f>
        <v>0</v>
      </c>
    </row>
    <row r="248" spans="2:65" s="1" customFormat="1" ht="24.2" customHeight="1">
      <c r="B248" s="83"/>
      <c r="C248" s="84">
        <v>97</v>
      </c>
      <c r="D248" s="84" t="s">
        <v>90</v>
      </c>
      <c r="E248" s="85" t="s">
        <v>398</v>
      </c>
      <c r="F248" s="86" t="s">
        <v>897</v>
      </c>
      <c r="G248" s="87" t="s">
        <v>135</v>
      </c>
      <c r="H248" s="88">
        <v>756.9</v>
      </c>
      <c r="I248" s="89"/>
      <c r="J248" s="89">
        <f t="shared" ref="J248:J254" si="70">ROUND(I248*H248,2)</f>
        <v>0</v>
      </c>
      <c r="K248" s="90"/>
      <c r="L248" s="15"/>
      <c r="M248" s="91" t="s">
        <v>0</v>
      </c>
      <c r="N248" s="92" t="s">
        <v>23</v>
      </c>
      <c r="O248" s="93">
        <v>0.18032000000000001</v>
      </c>
      <c r="P248" s="93">
        <f t="shared" ref="P248:P254" si="71">O248*H248</f>
        <v>136.484208</v>
      </c>
      <c r="Q248" s="93">
        <v>0</v>
      </c>
      <c r="R248" s="93">
        <f t="shared" ref="R248:R254" si="72">Q248*H248</f>
        <v>0</v>
      </c>
      <c r="S248" s="93">
        <v>0</v>
      </c>
      <c r="T248" s="94">
        <f t="shared" ref="T248:T254" si="73">S248*H248</f>
        <v>0</v>
      </c>
      <c r="V248" s="118" t="s">
        <v>949</v>
      </c>
      <c r="AR248" s="95" t="s">
        <v>147</v>
      </c>
      <c r="AT248" s="95" t="s">
        <v>90</v>
      </c>
      <c r="AU248" s="95" t="s">
        <v>94</v>
      </c>
      <c r="AY248" s="7" t="s">
        <v>88</v>
      </c>
      <c r="BE248" s="96">
        <f t="shared" ref="BE248:BE254" si="74">IF(N248="základná",J248,0)</f>
        <v>0</v>
      </c>
      <c r="BF248" s="96">
        <f t="shared" ref="BF248:BF254" si="75">IF(N248="znížená",J248,0)</f>
        <v>0</v>
      </c>
      <c r="BG248" s="96">
        <f t="shared" ref="BG248:BG254" si="76">IF(N248="zákl. prenesená",J248,0)</f>
        <v>0</v>
      </c>
      <c r="BH248" s="96">
        <f t="shared" ref="BH248:BH254" si="77">IF(N248="zníž. prenesená",J248,0)</f>
        <v>0</v>
      </c>
      <c r="BI248" s="96">
        <f t="shared" ref="BI248:BI254" si="78">IF(N248="nulová",J248,0)</f>
        <v>0</v>
      </c>
      <c r="BJ248" s="7" t="s">
        <v>94</v>
      </c>
      <c r="BK248" s="96">
        <f t="shared" ref="BK248:BK254" si="79">ROUND(I248*H248,2)</f>
        <v>0</v>
      </c>
      <c r="BL248" s="7" t="s">
        <v>147</v>
      </c>
      <c r="BM248" s="95" t="s">
        <v>399</v>
      </c>
    </row>
    <row r="249" spans="2:65" s="1" customFormat="1" ht="30.95" customHeight="1">
      <c r="B249" s="83"/>
      <c r="C249" s="97">
        <v>98</v>
      </c>
      <c r="D249" s="97" t="s">
        <v>138</v>
      </c>
      <c r="E249" s="98" t="s">
        <v>400</v>
      </c>
      <c r="F249" s="99" t="s">
        <v>969</v>
      </c>
      <c r="G249" s="100" t="s">
        <v>135</v>
      </c>
      <c r="H249" s="101">
        <f>H248*2.2</f>
        <v>1665.18</v>
      </c>
      <c r="I249" s="102"/>
      <c r="J249" s="102">
        <f t="shared" si="70"/>
        <v>0</v>
      </c>
      <c r="K249" s="103"/>
      <c r="L249" s="15"/>
      <c r="M249" s="105" t="s">
        <v>0</v>
      </c>
      <c r="N249" s="106" t="s">
        <v>23</v>
      </c>
      <c r="O249" s="93">
        <v>0</v>
      </c>
      <c r="P249" s="93">
        <f t="shared" si="71"/>
        <v>0</v>
      </c>
      <c r="Q249" s="93">
        <v>5.5999999999999999E-3</v>
      </c>
      <c r="R249" s="93">
        <f t="shared" si="72"/>
        <v>9.3250080000000004</v>
      </c>
      <c r="S249" s="93">
        <v>0</v>
      </c>
      <c r="T249" s="94">
        <f t="shared" si="73"/>
        <v>0</v>
      </c>
      <c r="V249" s="118" t="s">
        <v>949</v>
      </c>
      <c r="AR249" s="95" t="s">
        <v>162</v>
      </c>
      <c r="AT249" s="95" t="s">
        <v>138</v>
      </c>
      <c r="AU249" s="95" t="s">
        <v>94</v>
      </c>
      <c r="AY249" s="7" t="s">
        <v>88</v>
      </c>
      <c r="BE249" s="96">
        <f t="shared" si="74"/>
        <v>0</v>
      </c>
      <c r="BF249" s="96">
        <f t="shared" si="75"/>
        <v>0</v>
      </c>
      <c r="BG249" s="96">
        <f t="shared" si="76"/>
        <v>0</v>
      </c>
      <c r="BH249" s="96">
        <f t="shared" si="77"/>
        <v>0</v>
      </c>
      <c r="BI249" s="96">
        <f t="shared" si="78"/>
        <v>0</v>
      </c>
      <c r="BJ249" s="7" t="s">
        <v>94</v>
      </c>
      <c r="BK249" s="96">
        <f t="shared" si="79"/>
        <v>0</v>
      </c>
      <c r="BL249" s="7" t="s">
        <v>147</v>
      </c>
      <c r="BM249" s="95" t="s">
        <v>401</v>
      </c>
    </row>
    <row r="250" spans="2:65" s="1" customFormat="1" ht="24.2" customHeight="1">
      <c r="B250" s="83"/>
      <c r="C250" s="84">
        <v>99</v>
      </c>
      <c r="D250" s="84" t="s">
        <v>90</v>
      </c>
      <c r="E250" s="85" t="s">
        <v>402</v>
      </c>
      <c r="F250" s="86" t="s">
        <v>403</v>
      </c>
      <c r="G250" s="87" t="s">
        <v>135</v>
      </c>
      <c r="H250" s="88">
        <v>114.6</v>
      </c>
      <c r="I250" s="89"/>
      <c r="J250" s="89">
        <f t="shared" si="70"/>
        <v>0</v>
      </c>
      <c r="K250" s="90"/>
      <c r="L250" s="15"/>
      <c r="M250" s="91" t="s">
        <v>0</v>
      </c>
      <c r="N250" s="92" t="s">
        <v>23</v>
      </c>
      <c r="O250" s="93">
        <v>0.15503</v>
      </c>
      <c r="P250" s="93">
        <f t="shared" si="71"/>
        <v>17.766438000000001</v>
      </c>
      <c r="Q250" s="93">
        <v>3.5000000000000001E-3</v>
      </c>
      <c r="R250" s="93">
        <f t="shared" si="72"/>
        <v>0.40110000000000001</v>
      </c>
      <c r="S250" s="93">
        <v>0</v>
      </c>
      <c r="T250" s="94">
        <f t="shared" si="73"/>
        <v>0</v>
      </c>
      <c r="V250" s="120" t="s">
        <v>948</v>
      </c>
      <c r="AR250" s="95" t="s">
        <v>147</v>
      </c>
      <c r="AT250" s="95" t="s">
        <v>90</v>
      </c>
      <c r="AU250" s="95" t="s">
        <v>94</v>
      </c>
      <c r="AY250" s="7" t="s">
        <v>88</v>
      </c>
      <c r="BE250" s="96">
        <f t="shared" si="74"/>
        <v>0</v>
      </c>
      <c r="BF250" s="96">
        <f t="shared" si="75"/>
        <v>0</v>
      </c>
      <c r="BG250" s="96">
        <f t="shared" si="76"/>
        <v>0</v>
      </c>
      <c r="BH250" s="96">
        <f t="shared" si="77"/>
        <v>0</v>
      </c>
      <c r="BI250" s="96">
        <f t="shared" si="78"/>
        <v>0</v>
      </c>
      <c r="BJ250" s="7" t="s">
        <v>94</v>
      </c>
      <c r="BK250" s="96">
        <f t="shared" si="79"/>
        <v>0</v>
      </c>
      <c r="BL250" s="7" t="s">
        <v>147</v>
      </c>
      <c r="BM250" s="95" t="s">
        <v>404</v>
      </c>
    </row>
    <row r="251" spans="2:65" s="1" customFormat="1" ht="24.2" customHeight="1">
      <c r="B251" s="83"/>
      <c r="C251" s="97">
        <v>100</v>
      </c>
      <c r="D251" s="97" t="s">
        <v>138</v>
      </c>
      <c r="E251" s="98" t="s">
        <v>405</v>
      </c>
      <c r="F251" s="99" t="s">
        <v>406</v>
      </c>
      <c r="G251" s="100" t="s">
        <v>135</v>
      </c>
      <c r="H251" s="101">
        <f>H250*1.1</f>
        <v>126.06</v>
      </c>
      <c r="I251" s="102"/>
      <c r="J251" s="102">
        <f t="shared" si="70"/>
        <v>0</v>
      </c>
      <c r="K251" s="103"/>
      <c r="L251" s="15"/>
      <c r="M251" s="105" t="s">
        <v>0</v>
      </c>
      <c r="N251" s="106" t="s">
        <v>23</v>
      </c>
      <c r="O251" s="93">
        <v>0</v>
      </c>
      <c r="P251" s="93">
        <f t="shared" si="71"/>
        <v>0</v>
      </c>
      <c r="Q251" s="93">
        <v>6.6E-3</v>
      </c>
      <c r="R251" s="93">
        <f t="shared" si="72"/>
        <v>0.83199599999999996</v>
      </c>
      <c r="S251" s="93">
        <v>0</v>
      </c>
      <c r="T251" s="94">
        <f t="shared" si="73"/>
        <v>0</v>
      </c>
      <c r="V251" s="120" t="s">
        <v>948</v>
      </c>
      <c r="AR251" s="95" t="s">
        <v>162</v>
      </c>
      <c r="AT251" s="95" t="s">
        <v>138</v>
      </c>
      <c r="AU251" s="95" t="s">
        <v>94</v>
      </c>
      <c r="AY251" s="7" t="s">
        <v>88</v>
      </c>
      <c r="BE251" s="96">
        <f t="shared" si="74"/>
        <v>0</v>
      </c>
      <c r="BF251" s="96">
        <f t="shared" si="75"/>
        <v>0</v>
      </c>
      <c r="BG251" s="96">
        <f t="shared" si="76"/>
        <v>0</v>
      </c>
      <c r="BH251" s="96">
        <f t="shared" si="77"/>
        <v>0</v>
      </c>
      <c r="BI251" s="96">
        <f t="shared" si="78"/>
        <v>0</v>
      </c>
      <c r="BJ251" s="7" t="s">
        <v>94</v>
      </c>
      <c r="BK251" s="96">
        <f t="shared" si="79"/>
        <v>0</v>
      </c>
      <c r="BL251" s="7" t="s">
        <v>147</v>
      </c>
      <c r="BM251" s="95" t="s">
        <v>407</v>
      </c>
    </row>
    <row r="252" spans="2:65" s="1" customFormat="1" ht="37.9" customHeight="1">
      <c r="B252" s="83"/>
      <c r="C252" s="84">
        <v>101</v>
      </c>
      <c r="D252" s="84" t="s">
        <v>90</v>
      </c>
      <c r="E252" s="85" t="s">
        <v>408</v>
      </c>
      <c r="F252" s="86" t="s">
        <v>409</v>
      </c>
      <c r="G252" s="87" t="s">
        <v>135</v>
      </c>
      <c r="H252" s="88">
        <v>21.895</v>
      </c>
      <c r="I252" s="89"/>
      <c r="J252" s="89">
        <f t="shared" si="70"/>
        <v>0</v>
      </c>
      <c r="K252" s="90"/>
      <c r="L252" s="15"/>
      <c r="M252" s="91" t="s">
        <v>0</v>
      </c>
      <c r="N252" s="92" t="s">
        <v>23</v>
      </c>
      <c r="O252" s="93">
        <v>0.33115</v>
      </c>
      <c r="P252" s="93">
        <f t="shared" si="71"/>
        <v>7.2505292499999996</v>
      </c>
      <c r="Q252" s="93">
        <v>8.2249999999999999E-4</v>
      </c>
      <c r="R252" s="93">
        <f t="shared" si="72"/>
        <v>1.8008637500000001E-2</v>
      </c>
      <c r="S252" s="93">
        <v>0</v>
      </c>
      <c r="T252" s="94">
        <f t="shared" si="73"/>
        <v>0</v>
      </c>
      <c r="V252" s="118" t="s">
        <v>949</v>
      </c>
      <c r="AR252" s="95" t="s">
        <v>147</v>
      </c>
      <c r="AT252" s="95" t="s">
        <v>90</v>
      </c>
      <c r="AU252" s="95" t="s">
        <v>94</v>
      </c>
      <c r="AY252" s="7" t="s">
        <v>88</v>
      </c>
      <c r="BE252" s="96">
        <f t="shared" si="74"/>
        <v>0</v>
      </c>
      <c r="BF252" s="96">
        <f t="shared" si="75"/>
        <v>0</v>
      </c>
      <c r="BG252" s="96">
        <f t="shared" si="76"/>
        <v>0</v>
      </c>
      <c r="BH252" s="96">
        <f t="shared" si="77"/>
        <v>0</v>
      </c>
      <c r="BI252" s="96">
        <f t="shared" si="78"/>
        <v>0</v>
      </c>
      <c r="BJ252" s="7" t="s">
        <v>94</v>
      </c>
      <c r="BK252" s="96">
        <f t="shared" si="79"/>
        <v>0</v>
      </c>
      <c r="BL252" s="7" t="s">
        <v>147</v>
      </c>
      <c r="BM252" s="95" t="s">
        <v>410</v>
      </c>
    </row>
    <row r="253" spans="2:65" s="1" customFormat="1" ht="24.2" customHeight="1">
      <c r="B253" s="83"/>
      <c r="C253" s="97">
        <v>102</v>
      </c>
      <c r="D253" s="97" t="s">
        <v>138</v>
      </c>
      <c r="E253" s="98" t="s">
        <v>411</v>
      </c>
      <c r="F253" s="99" t="s">
        <v>885</v>
      </c>
      <c r="G253" s="100" t="s">
        <v>135</v>
      </c>
      <c r="H253" s="101">
        <f>H252*2.1</f>
        <v>45.979500000000002</v>
      </c>
      <c r="I253" s="102"/>
      <c r="J253" s="102">
        <f t="shared" si="70"/>
        <v>0</v>
      </c>
      <c r="K253" s="103"/>
      <c r="L253" s="15"/>
      <c r="M253" s="105" t="s">
        <v>0</v>
      </c>
      <c r="N253" s="106" t="s">
        <v>23</v>
      </c>
      <c r="O253" s="93">
        <v>0</v>
      </c>
      <c r="P253" s="93">
        <f t="shared" si="71"/>
        <v>0</v>
      </c>
      <c r="Q253" s="93">
        <v>4.3200000000000001E-3</v>
      </c>
      <c r="R253" s="93">
        <f t="shared" si="72"/>
        <v>0.19863144000000002</v>
      </c>
      <c r="S253" s="93">
        <v>0</v>
      </c>
      <c r="T253" s="94">
        <f t="shared" si="73"/>
        <v>0</v>
      </c>
      <c r="V253" s="118" t="s">
        <v>949</v>
      </c>
      <c r="AR253" s="95" t="s">
        <v>162</v>
      </c>
      <c r="AT253" s="95" t="s">
        <v>138</v>
      </c>
      <c r="AU253" s="95" t="s">
        <v>94</v>
      </c>
      <c r="AY253" s="7" t="s">
        <v>88</v>
      </c>
      <c r="BE253" s="96">
        <f t="shared" si="74"/>
        <v>0</v>
      </c>
      <c r="BF253" s="96">
        <f t="shared" si="75"/>
        <v>0</v>
      </c>
      <c r="BG253" s="96">
        <f t="shared" si="76"/>
        <v>0</v>
      </c>
      <c r="BH253" s="96">
        <f t="shared" si="77"/>
        <v>0</v>
      </c>
      <c r="BI253" s="96">
        <f t="shared" si="78"/>
        <v>0</v>
      </c>
      <c r="BJ253" s="7" t="s">
        <v>94</v>
      </c>
      <c r="BK253" s="96">
        <f t="shared" si="79"/>
        <v>0</v>
      </c>
      <c r="BL253" s="7" t="s">
        <v>147</v>
      </c>
      <c r="BM253" s="95" t="s">
        <v>412</v>
      </c>
    </row>
    <row r="254" spans="2:65" s="1" customFormat="1" ht="24.2" customHeight="1">
      <c r="B254" s="83"/>
      <c r="C254" s="84">
        <v>103</v>
      </c>
      <c r="D254" s="84" t="s">
        <v>90</v>
      </c>
      <c r="E254" s="85" t="s">
        <v>413</v>
      </c>
      <c r="F254" s="86" t="s">
        <v>414</v>
      </c>
      <c r="G254" s="87" t="s">
        <v>394</v>
      </c>
      <c r="H254" s="88">
        <v>1500</v>
      </c>
      <c r="I254" s="89"/>
      <c r="J254" s="89">
        <f t="shared" si="70"/>
        <v>0</v>
      </c>
      <c r="K254" s="90"/>
      <c r="L254" s="15"/>
      <c r="M254" s="91" t="s">
        <v>0</v>
      </c>
      <c r="N254" s="92" t="s">
        <v>23</v>
      </c>
      <c r="O254" s="93">
        <v>0</v>
      </c>
      <c r="P254" s="93">
        <f t="shared" si="71"/>
        <v>0</v>
      </c>
      <c r="Q254" s="93">
        <v>0</v>
      </c>
      <c r="R254" s="93">
        <f t="shared" si="72"/>
        <v>0</v>
      </c>
      <c r="S254" s="93">
        <v>0</v>
      </c>
      <c r="T254" s="94">
        <f t="shared" si="73"/>
        <v>0</v>
      </c>
      <c r="V254" s="120" t="s">
        <v>948</v>
      </c>
      <c r="AR254" s="95" t="s">
        <v>147</v>
      </c>
      <c r="AT254" s="95" t="s">
        <v>90</v>
      </c>
      <c r="AU254" s="95" t="s">
        <v>94</v>
      </c>
      <c r="AY254" s="7" t="s">
        <v>88</v>
      </c>
      <c r="BE254" s="96">
        <f t="shared" si="74"/>
        <v>0</v>
      </c>
      <c r="BF254" s="96">
        <f t="shared" si="75"/>
        <v>0</v>
      </c>
      <c r="BG254" s="96">
        <f t="shared" si="76"/>
        <v>0</v>
      </c>
      <c r="BH254" s="96">
        <f t="shared" si="77"/>
        <v>0</v>
      </c>
      <c r="BI254" s="96">
        <f t="shared" si="78"/>
        <v>0</v>
      </c>
      <c r="BJ254" s="7" t="s">
        <v>94</v>
      </c>
      <c r="BK254" s="96">
        <f t="shared" si="79"/>
        <v>0</v>
      </c>
      <c r="BL254" s="7" t="s">
        <v>147</v>
      </c>
      <c r="BM254" s="95" t="s">
        <v>415</v>
      </c>
    </row>
    <row r="255" spans="2:65" s="6" customFormat="1" ht="22.9" customHeight="1">
      <c r="B255" s="72"/>
      <c r="D255" s="73" t="s">
        <v>39</v>
      </c>
      <c r="E255" s="81" t="s">
        <v>416</v>
      </c>
      <c r="F255" s="81" t="s">
        <v>417</v>
      </c>
      <c r="J255" s="82">
        <f>SUM(J256:J262)</f>
        <v>0</v>
      </c>
      <c r="L255" s="72"/>
      <c r="M255" s="76"/>
      <c r="P255" s="77">
        <f>SUM(P256:P262)</f>
        <v>14.971</v>
      </c>
      <c r="R255" s="77">
        <f>SUM(R256:R262)</f>
        <v>0</v>
      </c>
      <c r="T255" s="78">
        <f>SUM(T256:T262)</f>
        <v>0.64873000000000003</v>
      </c>
      <c r="AR255" s="73" t="s">
        <v>94</v>
      </c>
      <c r="AT255" s="79" t="s">
        <v>39</v>
      </c>
      <c r="AU255" s="79" t="s">
        <v>41</v>
      </c>
      <c r="AY255" s="73" t="s">
        <v>88</v>
      </c>
      <c r="BK255" s="80">
        <f>SUM(BK256:BK262)</f>
        <v>0</v>
      </c>
    </row>
    <row r="256" spans="2:65" s="1" customFormat="1" ht="24.2" customHeight="1">
      <c r="B256" s="83"/>
      <c r="C256" s="84">
        <v>104</v>
      </c>
      <c r="D256" s="84" t="s">
        <v>90</v>
      </c>
      <c r="E256" s="85" t="s">
        <v>418</v>
      </c>
      <c r="F256" s="86" t="s">
        <v>419</v>
      </c>
      <c r="G256" s="87" t="s">
        <v>158</v>
      </c>
      <c r="H256" s="88">
        <v>7</v>
      </c>
      <c r="I256" s="89"/>
      <c r="J256" s="89">
        <f t="shared" ref="J256:J262" si="80">ROUND(I256*H256,2)</f>
        <v>0</v>
      </c>
      <c r="K256" s="90"/>
      <c r="L256" s="15"/>
      <c r="M256" s="91" t="s">
        <v>0</v>
      </c>
      <c r="N256" s="92" t="s">
        <v>23</v>
      </c>
      <c r="O256" s="93">
        <v>0.44</v>
      </c>
      <c r="P256" s="93">
        <f t="shared" ref="P256:P262" si="81">O256*H256</f>
        <v>3.08</v>
      </c>
      <c r="Q256" s="93">
        <v>0</v>
      </c>
      <c r="R256" s="93">
        <f t="shared" ref="R256:R262" si="82">Q256*H256</f>
        <v>0</v>
      </c>
      <c r="S256" s="93">
        <v>3.4200000000000001E-2</v>
      </c>
      <c r="T256" s="94">
        <f t="shared" ref="T256:T262" si="83">S256*H256</f>
        <v>0.2394</v>
      </c>
      <c r="V256" s="119" t="s">
        <v>953</v>
      </c>
      <c r="AR256" s="95" t="s">
        <v>147</v>
      </c>
      <c r="AT256" s="95" t="s">
        <v>90</v>
      </c>
      <c r="AU256" s="95" t="s">
        <v>94</v>
      </c>
      <c r="AY256" s="7" t="s">
        <v>88</v>
      </c>
      <c r="BE256" s="96">
        <f t="shared" ref="BE256:BE262" si="84">IF(N256="základná",J256,0)</f>
        <v>0</v>
      </c>
      <c r="BF256" s="96">
        <f t="shared" ref="BF256:BF262" si="85">IF(N256="znížená",J256,0)</f>
        <v>0</v>
      </c>
      <c r="BG256" s="96">
        <f t="shared" ref="BG256:BG262" si="86">IF(N256="zákl. prenesená",J256,0)</f>
        <v>0</v>
      </c>
      <c r="BH256" s="96">
        <f t="shared" ref="BH256:BH262" si="87">IF(N256="zníž. prenesená",J256,0)</f>
        <v>0</v>
      </c>
      <c r="BI256" s="96">
        <f t="shared" ref="BI256:BI262" si="88">IF(N256="nulová",J256,0)</f>
        <v>0</v>
      </c>
      <c r="BJ256" s="7" t="s">
        <v>94</v>
      </c>
      <c r="BK256" s="96">
        <f t="shared" ref="BK256:BK262" si="89">ROUND(I256*H256,2)</f>
        <v>0</v>
      </c>
      <c r="BL256" s="7" t="s">
        <v>147</v>
      </c>
      <c r="BM256" s="95" t="s">
        <v>420</v>
      </c>
    </row>
    <row r="257" spans="2:65" s="1" customFormat="1" ht="21.75" customHeight="1">
      <c r="B257" s="83"/>
      <c r="C257" s="84">
        <v>105</v>
      </c>
      <c r="D257" s="84" t="s">
        <v>90</v>
      </c>
      <c r="E257" s="85" t="s">
        <v>421</v>
      </c>
      <c r="F257" s="86" t="s">
        <v>422</v>
      </c>
      <c r="G257" s="87" t="s">
        <v>158</v>
      </c>
      <c r="H257" s="88">
        <v>6</v>
      </c>
      <c r="I257" s="89"/>
      <c r="J257" s="89">
        <f t="shared" si="80"/>
        <v>0</v>
      </c>
      <c r="K257" s="90"/>
      <c r="L257" s="15"/>
      <c r="M257" s="91" t="s">
        <v>0</v>
      </c>
      <c r="N257" s="92" t="s">
        <v>23</v>
      </c>
      <c r="O257" s="93">
        <v>0.70299999999999996</v>
      </c>
      <c r="P257" s="93">
        <f t="shared" si="81"/>
        <v>4.218</v>
      </c>
      <c r="Q257" s="93">
        <v>0</v>
      </c>
      <c r="R257" s="93">
        <f t="shared" si="82"/>
        <v>0</v>
      </c>
      <c r="S257" s="93">
        <v>3.968E-2</v>
      </c>
      <c r="T257" s="94">
        <f t="shared" si="83"/>
        <v>0.23808000000000001</v>
      </c>
      <c r="V257" s="119" t="s">
        <v>953</v>
      </c>
      <c r="AR257" s="95" t="s">
        <v>147</v>
      </c>
      <c r="AT257" s="95" t="s">
        <v>90</v>
      </c>
      <c r="AU257" s="95" t="s">
        <v>94</v>
      </c>
      <c r="AY257" s="7" t="s">
        <v>88</v>
      </c>
      <c r="BE257" s="96">
        <f t="shared" si="84"/>
        <v>0</v>
      </c>
      <c r="BF257" s="96">
        <f t="shared" si="85"/>
        <v>0</v>
      </c>
      <c r="BG257" s="96">
        <f t="shared" si="86"/>
        <v>0</v>
      </c>
      <c r="BH257" s="96">
        <f t="shared" si="87"/>
        <v>0</v>
      </c>
      <c r="BI257" s="96">
        <f t="shared" si="88"/>
        <v>0</v>
      </c>
      <c r="BJ257" s="7" t="s">
        <v>94</v>
      </c>
      <c r="BK257" s="96">
        <f t="shared" si="89"/>
        <v>0</v>
      </c>
      <c r="BL257" s="7" t="s">
        <v>147</v>
      </c>
      <c r="BM257" s="95" t="s">
        <v>423</v>
      </c>
    </row>
    <row r="258" spans="2:65" s="1" customFormat="1" ht="24.2" customHeight="1">
      <c r="B258" s="83"/>
      <c r="C258" s="84">
        <v>106</v>
      </c>
      <c r="D258" s="84" t="s">
        <v>90</v>
      </c>
      <c r="E258" s="85" t="s">
        <v>424</v>
      </c>
      <c r="F258" s="86" t="s">
        <v>425</v>
      </c>
      <c r="G258" s="87" t="s">
        <v>158</v>
      </c>
      <c r="H258" s="88">
        <v>7</v>
      </c>
      <c r="I258" s="89"/>
      <c r="J258" s="89">
        <f t="shared" si="80"/>
        <v>0</v>
      </c>
      <c r="K258" s="90"/>
      <c r="L258" s="15"/>
      <c r="M258" s="91" t="s">
        <v>0</v>
      </c>
      <c r="N258" s="92" t="s">
        <v>23</v>
      </c>
      <c r="O258" s="93">
        <v>0.34200000000000003</v>
      </c>
      <c r="P258" s="93">
        <f t="shared" si="81"/>
        <v>2.3940000000000001</v>
      </c>
      <c r="Q258" s="93">
        <v>0</v>
      </c>
      <c r="R258" s="93">
        <f t="shared" si="82"/>
        <v>0</v>
      </c>
      <c r="S258" s="93">
        <v>1.9460000000000002E-2</v>
      </c>
      <c r="T258" s="94">
        <f t="shared" si="83"/>
        <v>0.13622000000000001</v>
      </c>
      <c r="V258" s="119" t="s">
        <v>953</v>
      </c>
      <c r="AR258" s="95" t="s">
        <v>147</v>
      </c>
      <c r="AT258" s="95" t="s">
        <v>90</v>
      </c>
      <c r="AU258" s="95" t="s">
        <v>94</v>
      </c>
      <c r="AY258" s="7" t="s">
        <v>88</v>
      </c>
      <c r="BE258" s="96">
        <f t="shared" si="84"/>
        <v>0</v>
      </c>
      <c r="BF258" s="96">
        <f t="shared" si="85"/>
        <v>0</v>
      </c>
      <c r="BG258" s="96">
        <f t="shared" si="86"/>
        <v>0</v>
      </c>
      <c r="BH258" s="96">
        <f t="shared" si="87"/>
        <v>0</v>
      </c>
      <c r="BI258" s="96">
        <f t="shared" si="88"/>
        <v>0</v>
      </c>
      <c r="BJ258" s="7" t="s">
        <v>94</v>
      </c>
      <c r="BK258" s="96">
        <f t="shared" si="89"/>
        <v>0</v>
      </c>
      <c r="BL258" s="7" t="s">
        <v>147</v>
      </c>
      <c r="BM258" s="95" t="s">
        <v>426</v>
      </c>
    </row>
    <row r="259" spans="2:65" s="1" customFormat="1" ht="21.75" customHeight="1">
      <c r="B259" s="83"/>
      <c r="C259" s="84">
        <v>107</v>
      </c>
      <c r="D259" s="84" t="s">
        <v>90</v>
      </c>
      <c r="E259" s="85" t="s">
        <v>427</v>
      </c>
      <c r="F259" s="86" t="s">
        <v>428</v>
      </c>
      <c r="G259" s="87" t="s">
        <v>160</v>
      </c>
      <c r="H259" s="88">
        <v>14</v>
      </c>
      <c r="I259" s="89"/>
      <c r="J259" s="89">
        <f t="shared" si="80"/>
        <v>0</v>
      </c>
      <c r="K259" s="90"/>
      <c r="L259" s="15"/>
      <c r="M259" s="91" t="s">
        <v>0</v>
      </c>
      <c r="N259" s="92" t="s">
        <v>23</v>
      </c>
      <c r="O259" s="93">
        <v>0.11799999999999999</v>
      </c>
      <c r="P259" s="93">
        <f t="shared" si="81"/>
        <v>1.6519999999999999</v>
      </c>
      <c r="Q259" s="93">
        <v>0</v>
      </c>
      <c r="R259" s="93">
        <f t="shared" si="82"/>
        <v>0</v>
      </c>
      <c r="S259" s="93">
        <v>5.4000000000000001E-4</v>
      </c>
      <c r="T259" s="94">
        <f t="shared" si="83"/>
        <v>7.5599999999999999E-3</v>
      </c>
      <c r="V259" s="119" t="s">
        <v>953</v>
      </c>
      <c r="AR259" s="95" t="s">
        <v>147</v>
      </c>
      <c r="AT259" s="95" t="s">
        <v>90</v>
      </c>
      <c r="AU259" s="95" t="s">
        <v>94</v>
      </c>
      <c r="AY259" s="7" t="s">
        <v>88</v>
      </c>
      <c r="BE259" s="96">
        <f t="shared" si="84"/>
        <v>0</v>
      </c>
      <c r="BF259" s="96">
        <f t="shared" si="85"/>
        <v>0</v>
      </c>
      <c r="BG259" s="96">
        <f t="shared" si="86"/>
        <v>0</v>
      </c>
      <c r="BH259" s="96">
        <f t="shared" si="87"/>
        <v>0</v>
      </c>
      <c r="BI259" s="96">
        <f t="shared" si="88"/>
        <v>0</v>
      </c>
      <c r="BJ259" s="7" t="s">
        <v>94</v>
      </c>
      <c r="BK259" s="96">
        <f t="shared" si="89"/>
        <v>0</v>
      </c>
      <c r="BL259" s="7" t="s">
        <v>147</v>
      </c>
      <c r="BM259" s="95" t="s">
        <v>429</v>
      </c>
    </row>
    <row r="260" spans="2:65" s="1" customFormat="1" ht="21.75" customHeight="1">
      <c r="B260" s="83"/>
      <c r="C260" s="84">
        <v>108</v>
      </c>
      <c r="D260" s="84" t="s">
        <v>90</v>
      </c>
      <c r="E260" s="85" t="s">
        <v>430</v>
      </c>
      <c r="F260" s="86" t="s">
        <v>431</v>
      </c>
      <c r="G260" s="87" t="s">
        <v>158</v>
      </c>
      <c r="H260" s="88">
        <v>7</v>
      </c>
      <c r="I260" s="89"/>
      <c r="J260" s="89">
        <f t="shared" si="80"/>
        <v>0</v>
      </c>
      <c r="K260" s="90"/>
      <c r="L260" s="15"/>
      <c r="M260" s="91" t="s">
        <v>0</v>
      </c>
      <c r="N260" s="92" t="s">
        <v>23</v>
      </c>
      <c r="O260" s="93">
        <v>0.21</v>
      </c>
      <c r="P260" s="93">
        <f t="shared" si="81"/>
        <v>1.47</v>
      </c>
      <c r="Q260" s="93">
        <v>0</v>
      </c>
      <c r="R260" s="93">
        <f t="shared" si="82"/>
        <v>0</v>
      </c>
      <c r="S260" s="93">
        <v>8.5999999999999998E-4</v>
      </c>
      <c r="T260" s="94">
        <f t="shared" si="83"/>
        <v>6.0200000000000002E-3</v>
      </c>
      <c r="V260" s="119" t="s">
        <v>953</v>
      </c>
      <c r="AR260" s="95" t="s">
        <v>147</v>
      </c>
      <c r="AT260" s="95" t="s">
        <v>90</v>
      </c>
      <c r="AU260" s="95" t="s">
        <v>94</v>
      </c>
      <c r="AY260" s="7" t="s">
        <v>88</v>
      </c>
      <c r="BE260" s="96">
        <f t="shared" si="84"/>
        <v>0</v>
      </c>
      <c r="BF260" s="96">
        <f t="shared" si="85"/>
        <v>0</v>
      </c>
      <c r="BG260" s="96">
        <f t="shared" si="86"/>
        <v>0</v>
      </c>
      <c r="BH260" s="96">
        <f t="shared" si="87"/>
        <v>0</v>
      </c>
      <c r="BI260" s="96">
        <f t="shared" si="88"/>
        <v>0</v>
      </c>
      <c r="BJ260" s="7" t="s">
        <v>94</v>
      </c>
      <c r="BK260" s="96">
        <f t="shared" si="89"/>
        <v>0</v>
      </c>
      <c r="BL260" s="7" t="s">
        <v>147</v>
      </c>
      <c r="BM260" s="95" t="s">
        <v>432</v>
      </c>
    </row>
    <row r="261" spans="2:65" s="1" customFormat="1" ht="24.2" customHeight="1">
      <c r="B261" s="83"/>
      <c r="C261" s="84">
        <v>109</v>
      </c>
      <c r="D261" s="84" t="s">
        <v>90</v>
      </c>
      <c r="E261" s="85" t="s">
        <v>433</v>
      </c>
      <c r="F261" s="86" t="s">
        <v>434</v>
      </c>
      <c r="G261" s="87" t="s">
        <v>158</v>
      </c>
      <c r="H261" s="88">
        <v>4</v>
      </c>
      <c r="I261" s="89"/>
      <c r="J261" s="89">
        <f t="shared" si="80"/>
        <v>0</v>
      </c>
      <c r="K261" s="90"/>
      <c r="L261" s="15"/>
      <c r="M261" s="91" t="s">
        <v>0</v>
      </c>
      <c r="N261" s="92" t="s">
        <v>23</v>
      </c>
      <c r="O261" s="93">
        <v>0.25</v>
      </c>
      <c r="P261" s="93">
        <f t="shared" si="81"/>
        <v>1</v>
      </c>
      <c r="Q261" s="93">
        <v>0</v>
      </c>
      <c r="R261" s="93">
        <f t="shared" si="82"/>
        <v>0</v>
      </c>
      <c r="S261" s="93">
        <v>2.5999999999999999E-3</v>
      </c>
      <c r="T261" s="94">
        <f t="shared" si="83"/>
        <v>1.04E-2</v>
      </c>
      <c r="V261" s="119" t="s">
        <v>953</v>
      </c>
      <c r="AR261" s="95" t="s">
        <v>147</v>
      </c>
      <c r="AT261" s="95" t="s">
        <v>90</v>
      </c>
      <c r="AU261" s="95" t="s">
        <v>94</v>
      </c>
      <c r="AY261" s="7" t="s">
        <v>88</v>
      </c>
      <c r="BE261" s="96">
        <f t="shared" si="84"/>
        <v>0</v>
      </c>
      <c r="BF261" s="96">
        <f t="shared" si="85"/>
        <v>0</v>
      </c>
      <c r="BG261" s="96">
        <f t="shared" si="86"/>
        <v>0</v>
      </c>
      <c r="BH261" s="96">
        <f t="shared" si="87"/>
        <v>0</v>
      </c>
      <c r="BI261" s="96">
        <f t="shared" si="88"/>
        <v>0</v>
      </c>
      <c r="BJ261" s="7" t="s">
        <v>94</v>
      </c>
      <c r="BK261" s="96">
        <f t="shared" si="89"/>
        <v>0</v>
      </c>
      <c r="BL261" s="7" t="s">
        <v>147</v>
      </c>
      <c r="BM261" s="95" t="s">
        <v>435</v>
      </c>
    </row>
    <row r="262" spans="2:65" s="1" customFormat="1" ht="37.9" customHeight="1">
      <c r="B262" s="83"/>
      <c r="C262" s="84">
        <v>110</v>
      </c>
      <c r="D262" s="84" t="s">
        <v>90</v>
      </c>
      <c r="E262" s="85" t="s">
        <v>436</v>
      </c>
      <c r="F262" s="86" t="s">
        <v>437</v>
      </c>
      <c r="G262" s="87" t="s">
        <v>160</v>
      </c>
      <c r="H262" s="88">
        <f>H257+H258</f>
        <v>13</v>
      </c>
      <c r="I262" s="89"/>
      <c r="J262" s="89">
        <f t="shared" si="80"/>
        <v>0</v>
      </c>
      <c r="K262" s="90"/>
      <c r="L262" s="15"/>
      <c r="M262" s="91" t="s">
        <v>0</v>
      </c>
      <c r="N262" s="92" t="s">
        <v>23</v>
      </c>
      <c r="O262" s="93">
        <v>8.8999999999999996E-2</v>
      </c>
      <c r="P262" s="93">
        <f t="shared" si="81"/>
        <v>1.157</v>
      </c>
      <c r="Q262" s="93">
        <v>0</v>
      </c>
      <c r="R262" s="93">
        <f t="shared" si="82"/>
        <v>0</v>
      </c>
      <c r="S262" s="93">
        <v>8.4999999999999995E-4</v>
      </c>
      <c r="T262" s="94">
        <f t="shared" si="83"/>
        <v>1.1049999999999999E-2</v>
      </c>
      <c r="V262" s="119" t="s">
        <v>953</v>
      </c>
      <c r="AR262" s="95" t="s">
        <v>147</v>
      </c>
      <c r="AT262" s="95" t="s">
        <v>90</v>
      </c>
      <c r="AU262" s="95" t="s">
        <v>94</v>
      </c>
      <c r="AY262" s="7" t="s">
        <v>88</v>
      </c>
      <c r="BE262" s="96">
        <f t="shared" si="84"/>
        <v>0</v>
      </c>
      <c r="BF262" s="96">
        <f t="shared" si="85"/>
        <v>0</v>
      </c>
      <c r="BG262" s="96">
        <f t="shared" si="86"/>
        <v>0</v>
      </c>
      <c r="BH262" s="96">
        <f t="shared" si="87"/>
        <v>0</v>
      </c>
      <c r="BI262" s="96">
        <f t="shared" si="88"/>
        <v>0</v>
      </c>
      <c r="BJ262" s="7" t="s">
        <v>94</v>
      </c>
      <c r="BK262" s="96">
        <f t="shared" si="89"/>
        <v>0</v>
      </c>
      <c r="BL262" s="7" t="s">
        <v>147</v>
      </c>
      <c r="BM262" s="95" t="s">
        <v>438</v>
      </c>
    </row>
    <row r="263" spans="2:65" s="6" customFormat="1" ht="22.9" customHeight="1">
      <c r="B263" s="72"/>
      <c r="D263" s="73" t="s">
        <v>39</v>
      </c>
      <c r="E263" s="81" t="s">
        <v>439</v>
      </c>
      <c r="F263" s="81" t="s">
        <v>440</v>
      </c>
      <c r="J263" s="82">
        <f>SUM(J264:J277)</f>
        <v>0</v>
      </c>
      <c r="L263" s="72"/>
      <c r="M263" s="76"/>
      <c r="P263" s="77">
        <f>SUM(P264:P277)</f>
        <v>1174.3641646308001</v>
      </c>
      <c r="R263" s="77">
        <f>SUM(R264:R277)</f>
        <v>23.043296106753299</v>
      </c>
      <c r="T263" s="78">
        <f>SUM(T264:T277)</f>
        <v>27.317792000000001</v>
      </c>
      <c r="AR263" s="73" t="s">
        <v>94</v>
      </c>
      <c r="AT263" s="79" t="s">
        <v>39</v>
      </c>
      <c r="AU263" s="79" t="s">
        <v>41</v>
      </c>
      <c r="AY263" s="73" t="s">
        <v>88</v>
      </c>
      <c r="BK263" s="80">
        <f>SUM(BK264:BK277)</f>
        <v>0</v>
      </c>
    </row>
    <row r="264" spans="2:65" s="1" customFormat="1" ht="33" customHeight="1">
      <c r="B264" s="83"/>
      <c r="C264" s="84">
        <v>111</v>
      </c>
      <c r="D264" s="84" t="s">
        <v>90</v>
      </c>
      <c r="E264" s="85" t="s">
        <v>444</v>
      </c>
      <c r="F264" s="86" t="s">
        <v>445</v>
      </c>
      <c r="G264" s="87" t="s">
        <v>145</v>
      </c>
      <c r="H264" s="88">
        <v>1212.47</v>
      </c>
      <c r="I264" s="89"/>
      <c r="J264" s="89">
        <f t="shared" ref="J264:J277" si="90">ROUND(I264*H264,2)</f>
        <v>0</v>
      </c>
      <c r="K264" s="90"/>
      <c r="L264" s="15"/>
      <c r="M264" s="91" t="s">
        <v>0</v>
      </c>
      <c r="N264" s="92" t="s">
        <v>23</v>
      </c>
      <c r="O264" s="93">
        <v>0.121</v>
      </c>
      <c r="P264" s="93">
        <f t="shared" ref="P264:P277" si="91">O264*H264</f>
        <v>146.70886999999999</v>
      </c>
      <c r="Q264" s="93">
        <v>0</v>
      </c>
      <c r="R264" s="93">
        <f t="shared" ref="R264:R277" si="92">Q264*H264</f>
        <v>0</v>
      </c>
      <c r="S264" s="93">
        <v>1.4E-2</v>
      </c>
      <c r="T264" s="94">
        <f t="shared" ref="T264:T277" si="93">S264*H264</f>
        <v>16.97458</v>
      </c>
      <c r="V264" s="118" t="s">
        <v>949</v>
      </c>
      <c r="AR264" s="95" t="s">
        <v>147</v>
      </c>
      <c r="AT264" s="95" t="s">
        <v>90</v>
      </c>
      <c r="AU264" s="95" t="s">
        <v>94</v>
      </c>
      <c r="AY264" s="7" t="s">
        <v>88</v>
      </c>
      <c r="BE264" s="96">
        <f t="shared" ref="BE264:BE277" si="94">IF(N264="základná",J264,0)</f>
        <v>0</v>
      </c>
      <c r="BF264" s="96">
        <f t="shared" ref="BF264:BF277" si="95">IF(N264="znížená",J264,0)</f>
        <v>0</v>
      </c>
      <c r="BG264" s="96">
        <f t="shared" ref="BG264:BG277" si="96">IF(N264="zákl. prenesená",J264,0)</f>
        <v>0</v>
      </c>
      <c r="BH264" s="96">
        <f t="shared" ref="BH264:BH277" si="97">IF(N264="zníž. prenesená",J264,0)</f>
        <v>0</v>
      </c>
      <c r="BI264" s="96">
        <f t="shared" ref="BI264:BI277" si="98">IF(N264="nulová",J264,0)</f>
        <v>0</v>
      </c>
      <c r="BJ264" s="7" t="s">
        <v>94</v>
      </c>
      <c r="BK264" s="96">
        <f t="shared" ref="BK264:BK277" si="99">ROUND(I264*H264,2)</f>
        <v>0</v>
      </c>
      <c r="BL264" s="7" t="s">
        <v>147</v>
      </c>
      <c r="BM264" s="95" t="s">
        <v>446</v>
      </c>
    </row>
    <row r="265" spans="2:65" s="1" customFormat="1" ht="37.9" customHeight="1">
      <c r="B265" s="83"/>
      <c r="C265" s="84">
        <v>112</v>
      </c>
      <c r="D265" s="84" t="s">
        <v>90</v>
      </c>
      <c r="E265" s="85" t="s">
        <v>447</v>
      </c>
      <c r="F265" s="86" t="s">
        <v>448</v>
      </c>
      <c r="G265" s="87" t="s">
        <v>145</v>
      </c>
      <c r="H265" s="88">
        <v>1212.47</v>
      </c>
      <c r="I265" s="89"/>
      <c r="J265" s="89">
        <f t="shared" si="90"/>
        <v>0</v>
      </c>
      <c r="K265" s="90"/>
      <c r="L265" s="15"/>
      <c r="M265" s="91" t="s">
        <v>0</v>
      </c>
      <c r="N265" s="92" t="s">
        <v>23</v>
      </c>
      <c r="O265" s="93">
        <v>0.46095999999999998</v>
      </c>
      <c r="P265" s="93">
        <f t="shared" si="91"/>
        <v>558.90017120000005</v>
      </c>
      <c r="Q265" s="93">
        <v>2.5999999999999998E-4</v>
      </c>
      <c r="R265" s="93">
        <f t="shared" si="92"/>
        <v>0.31524219999999997</v>
      </c>
      <c r="S265" s="93">
        <v>0</v>
      </c>
      <c r="T265" s="94">
        <f t="shared" si="93"/>
        <v>0</v>
      </c>
      <c r="V265" s="118" t="s">
        <v>949</v>
      </c>
      <c r="AR265" s="95" t="s">
        <v>147</v>
      </c>
      <c r="AT265" s="95" t="s">
        <v>90</v>
      </c>
      <c r="AU265" s="95" t="s">
        <v>94</v>
      </c>
      <c r="AY265" s="7" t="s">
        <v>88</v>
      </c>
      <c r="BE265" s="96">
        <f t="shared" si="94"/>
        <v>0</v>
      </c>
      <c r="BF265" s="96">
        <f t="shared" si="95"/>
        <v>0</v>
      </c>
      <c r="BG265" s="96">
        <f t="shared" si="96"/>
        <v>0</v>
      </c>
      <c r="BH265" s="96">
        <f t="shared" si="97"/>
        <v>0</v>
      </c>
      <c r="BI265" s="96">
        <f t="shared" si="98"/>
        <v>0</v>
      </c>
      <c r="BJ265" s="7" t="s">
        <v>94</v>
      </c>
      <c r="BK265" s="96">
        <f t="shared" si="99"/>
        <v>0</v>
      </c>
      <c r="BL265" s="7" t="s">
        <v>147</v>
      </c>
      <c r="BM265" s="95" t="s">
        <v>449</v>
      </c>
    </row>
    <row r="266" spans="2:65" s="1" customFormat="1" ht="24.2" customHeight="1">
      <c r="B266" s="83"/>
      <c r="C266" s="97">
        <v>113</v>
      </c>
      <c r="D266" s="97" t="s">
        <v>138</v>
      </c>
      <c r="E266" s="98" t="s">
        <v>450</v>
      </c>
      <c r="F266" s="99" t="s">
        <v>971</v>
      </c>
      <c r="G266" s="100" t="s">
        <v>92</v>
      </c>
      <c r="H266" s="101">
        <f>H265*0.1*0.18</f>
        <v>21.824460000000002</v>
      </c>
      <c r="I266" s="102"/>
      <c r="J266" s="102">
        <f t="shared" si="90"/>
        <v>0</v>
      </c>
      <c r="K266" s="103"/>
      <c r="L266" s="104"/>
      <c r="M266" s="105" t="s">
        <v>0</v>
      </c>
      <c r="N266" s="106" t="s">
        <v>23</v>
      </c>
      <c r="O266" s="93">
        <v>0</v>
      </c>
      <c r="P266" s="93">
        <f t="shared" si="91"/>
        <v>0</v>
      </c>
      <c r="Q266" s="93">
        <v>0.5</v>
      </c>
      <c r="R266" s="93">
        <f t="shared" si="92"/>
        <v>10.912230000000001</v>
      </c>
      <c r="S266" s="93">
        <v>0</v>
      </c>
      <c r="T266" s="94">
        <f t="shared" si="93"/>
        <v>0</v>
      </c>
      <c r="V266" s="118" t="s">
        <v>949</v>
      </c>
      <c r="AR266" s="95" t="s">
        <v>162</v>
      </c>
      <c r="AT266" s="95" t="s">
        <v>138</v>
      </c>
      <c r="AU266" s="95" t="s">
        <v>94</v>
      </c>
      <c r="AY266" s="7" t="s">
        <v>88</v>
      </c>
      <c r="BE266" s="96">
        <f t="shared" si="94"/>
        <v>0</v>
      </c>
      <c r="BF266" s="96">
        <f t="shared" si="95"/>
        <v>0</v>
      </c>
      <c r="BG266" s="96">
        <f t="shared" si="96"/>
        <v>0</v>
      </c>
      <c r="BH266" s="96">
        <f t="shared" si="97"/>
        <v>0</v>
      </c>
      <c r="BI266" s="96">
        <f t="shared" si="98"/>
        <v>0</v>
      </c>
      <c r="BJ266" s="7" t="s">
        <v>94</v>
      </c>
      <c r="BK266" s="96">
        <f t="shared" si="99"/>
        <v>0</v>
      </c>
      <c r="BL266" s="7" t="s">
        <v>147</v>
      </c>
      <c r="BM266" s="95" t="s">
        <v>451</v>
      </c>
    </row>
    <row r="267" spans="2:65" s="1" customFormat="1" ht="24.2" customHeight="1">
      <c r="B267" s="83"/>
      <c r="C267" s="84">
        <v>114</v>
      </c>
      <c r="D267" s="84" t="s">
        <v>90</v>
      </c>
      <c r="E267" s="85" t="s">
        <v>452</v>
      </c>
      <c r="F267" s="86" t="s">
        <v>453</v>
      </c>
      <c r="G267" s="87" t="s">
        <v>135</v>
      </c>
      <c r="H267" s="88">
        <v>1005.62</v>
      </c>
      <c r="I267" s="89"/>
      <c r="J267" s="89">
        <f t="shared" si="90"/>
        <v>0</v>
      </c>
      <c r="K267" s="90"/>
      <c r="L267" s="15"/>
      <c r="M267" s="91" t="s">
        <v>0</v>
      </c>
      <c r="N267" s="92" t="s">
        <v>23</v>
      </c>
      <c r="O267" s="93">
        <v>0.26363999999999999</v>
      </c>
      <c r="P267" s="93">
        <f t="shared" si="91"/>
        <v>265.12165679999998</v>
      </c>
      <c r="Q267" s="93">
        <v>0</v>
      </c>
      <c r="R267" s="93">
        <f t="shared" si="92"/>
        <v>0</v>
      </c>
      <c r="S267" s="93">
        <v>0</v>
      </c>
      <c r="T267" s="94">
        <f t="shared" si="93"/>
        <v>0</v>
      </c>
      <c r="V267" s="118" t="s">
        <v>949</v>
      </c>
      <c r="AR267" s="95" t="s">
        <v>147</v>
      </c>
      <c r="AT267" s="95" t="s">
        <v>90</v>
      </c>
      <c r="AU267" s="95" t="s">
        <v>94</v>
      </c>
      <c r="AY267" s="7" t="s">
        <v>88</v>
      </c>
      <c r="BE267" s="96">
        <f t="shared" si="94"/>
        <v>0</v>
      </c>
      <c r="BF267" s="96">
        <f t="shared" si="95"/>
        <v>0</v>
      </c>
      <c r="BG267" s="96">
        <f t="shared" si="96"/>
        <v>0</v>
      </c>
      <c r="BH267" s="96">
        <f t="shared" si="97"/>
        <v>0</v>
      </c>
      <c r="BI267" s="96">
        <f t="shared" si="98"/>
        <v>0</v>
      </c>
      <c r="BJ267" s="7" t="s">
        <v>94</v>
      </c>
      <c r="BK267" s="96">
        <f t="shared" si="99"/>
        <v>0</v>
      </c>
      <c r="BL267" s="7" t="s">
        <v>147</v>
      </c>
      <c r="BM267" s="95" t="s">
        <v>454</v>
      </c>
    </row>
    <row r="268" spans="2:65" s="1" customFormat="1" ht="37.9" customHeight="1">
      <c r="B268" s="83"/>
      <c r="C268" s="97">
        <v>115</v>
      </c>
      <c r="D268" s="97" t="s">
        <v>138</v>
      </c>
      <c r="E268" s="98" t="s">
        <v>455</v>
      </c>
      <c r="F268" s="99" t="s">
        <v>456</v>
      </c>
      <c r="G268" s="100" t="s">
        <v>135</v>
      </c>
      <c r="H268" s="101">
        <f>H267*1.05</f>
        <v>1055.9010000000001</v>
      </c>
      <c r="I268" s="102"/>
      <c r="J268" s="102">
        <f t="shared" si="90"/>
        <v>0</v>
      </c>
      <c r="K268" s="103"/>
      <c r="L268" s="104"/>
      <c r="M268" s="105" t="s">
        <v>0</v>
      </c>
      <c r="N268" s="106" t="s">
        <v>23</v>
      </c>
      <c r="O268" s="93">
        <v>0</v>
      </c>
      <c r="P268" s="93">
        <f t="shared" si="91"/>
        <v>0</v>
      </c>
      <c r="Q268" s="93">
        <v>8.3599999999999994E-3</v>
      </c>
      <c r="R268" s="93">
        <f t="shared" si="92"/>
        <v>8.8273323599999998</v>
      </c>
      <c r="S268" s="93">
        <v>0</v>
      </c>
      <c r="T268" s="94">
        <f t="shared" si="93"/>
        <v>0</v>
      </c>
      <c r="V268" s="118" t="s">
        <v>949</v>
      </c>
      <c r="AR268" s="95" t="s">
        <v>162</v>
      </c>
      <c r="AT268" s="95" t="s">
        <v>138</v>
      </c>
      <c r="AU268" s="95" t="s">
        <v>94</v>
      </c>
      <c r="AY268" s="7" t="s">
        <v>88</v>
      </c>
      <c r="BE268" s="96">
        <f t="shared" si="94"/>
        <v>0</v>
      </c>
      <c r="BF268" s="96">
        <f t="shared" si="95"/>
        <v>0</v>
      </c>
      <c r="BG268" s="96">
        <f t="shared" si="96"/>
        <v>0</v>
      </c>
      <c r="BH268" s="96">
        <f t="shared" si="97"/>
        <v>0</v>
      </c>
      <c r="BI268" s="96">
        <f t="shared" si="98"/>
        <v>0</v>
      </c>
      <c r="BJ268" s="7" t="s">
        <v>94</v>
      </c>
      <c r="BK268" s="96">
        <f t="shared" si="99"/>
        <v>0</v>
      </c>
      <c r="BL268" s="7" t="s">
        <v>147</v>
      </c>
      <c r="BM268" s="95" t="s">
        <v>457</v>
      </c>
    </row>
    <row r="269" spans="2:65" s="1" customFormat="1" ht="24.2" customHeight="1">
      <c r="B269" s="83"/>
      <c r="C269" s="84">
        <v>116</v>
      </c>
      <c r="D269" s="84" t="s">
        <v>90</v>
      </c>
      <c r="E269" s="85" t="s">
        <v>458</v>
      </c>
      <c r="F269" s="86" t="s">
        <v>459</v>
      </c>
      <c r="G269" s="87" t="s">
        <v>135</v>
      </c>
      <c r="H269" s="88">
        <v>21.895</v>
      </c>
      <c r="I269" s="89"/>
      <c r="J269" s="89">
        <f t="shared" si="90"/>
        <v>0</v>
      </c>
      <c r="K269" s="90"/>
      <c r="L269" s="15"/>
      <c r="M269" s="91" t="s">
        <v>0</v>
      </c>
      <c r="N269" s="92" t="s">
        <v>23</v>
      </c>
      <c r="O269" s="93">
        <v>0.29520999999999997</v>
      </c>
      <c r="P269" s="93">
        <f t="shared" si="91"/>
        <v>6.4636229499999995</v>
      </c>
      <c r="Q269" s="93">
        <v>0</v>
      </c>
      <c r="R269" s="93">
        <f t="shared" si="92"/>
        <v>0</v>
      </c>
      <c r="S269" s="93">
        <v>0</v>
      </c>
      <c r="T269" s="94">
        <f t="shared" si="93"/>
        <v>0</v>
      </c>
      <c r="V269" s="118" t="s">
        <v>949</v>
      </c>
      <c r="AR269" s="95" t="s">
        <v>147</v>
      </c>
      <c r="AT269" s="95" t="s">
        <v>90</v>
      </c>
      <c r="AU269" s="95" t="s">
        <v>94</v>
      </c>
      <c r="AY269" s="7" t="s">
        <v>88</v>
      </c>
      <c r="BE269" s="96">
        <f t="shared" si="94"/>
        <v>0</v>
      </c>
      <c r="BF269" s="96">
        <f t="shared" si="95"/>
        <v>0</v>
      </c>
      <c r="BG269" s="96">
        <f t="shared" si="96"/>
        <v>0</v>
      </c>
      <c r="BH269" s="96">
        <f t="shared" si="97"/>
        <v>0</v>
      </c>
      <c r="BI269" s="96">
        <f t="shared" si="98"/>
        <v>0</v>
      </c>
      <c r="BJ269" s="7" t="s">
        <v>94</v>
      </c>
      <c r="BK269" s="96">
        <f t="shared" si="99"/>
        <v>0</v>
      </c>
      <c r="BL269" s="7" t="s">
        <v>147</v>
      </c>
      <c r="BM269" s="95" t="s">
        <v>460</v>
      </c>
    </row>
    <row r="270" spans="2:65" s="1" customFormat="1" ht="16.5" customHeight="1">
      <c r="B270" s="83"/>
      <c r="C270" s="97">
        <v>117</v>
      </c>
      <c r="D270" s="97" t="s">
        <v>138</v>
      </c>
      <c r="E270" s="98" t="s">
        <v>442</v>
      </c>
      <c r="F270" s="99" t="s">
        <v>443</v>
      </c>
      <c r="G270" s="100" t="s">
        <v>135</v>
      </c>
      <c r="H270" s="101">
        <f>H269*1.05</f>
        <v>22.989750000000001</v>
      </c>
      <c r="I270" s="102"/>
      <c r="J270" s="102">
        <f t="shared" si="90"/>
        <v>0</v>
      </c>
      <c r="K270" s="103"/>
      <c r="L270" s="104"/>
      <c r="M270" s="105" t="s">
        <v>0</v>
      </c>
      <c r="N270" s="106" t="s">
        <v>23</v>
      </c>
      <c r="O270" s="93">
        <v>0</v>
      </c>
      <c r="P270" s="93">
        <f t="shared" si="91"/>
        <v>0</v>
      </c>
      <c r="Q270" s="93">
        <v>1.0999999999999999E-2</v>
      </c>
      <c r="R270" s="93">
        <f t="shared" si="92"/>
        <v>0.25288725000000001</v>
      </c>
      <c r="S270" s="93">
        <v>0</v>
      </c>
      <c r="T270" s="94">
        <f t="shared" si="93"/>
        <v>0</v>
      </c>
      <c r="V270" s="118" t="s">
        <v>949</v>
      </c>
      <c r="AR270" s="95" t="s">
        <v>162</v>
      </c>
      <c r="AT270" s="95" t="s">
        <v>138</v>
      </c>
      <c r="AU270" s="95" t="s">
        <v>94</v>
      </c>
      <c r="AY270" s="7" t="s">
        <v>88</v>
      </c>
      <c r="BE270" s="96">
        <f t="shared" si="94"/>
        <v>0</v>
      </c>
      <c r="BF270" s="96">
        <f t="shared" si="95"/>
        <v>0</v>
      </c>
      <c r="BG270" s="96">
        <f t="shared" si="96"/>
        <v>0</v>
      </c>
      <c r="BH270" s="96">
        <f t="shared" si="97"/>
        <v>0</v>
      </c>
      <c r="BI270" s="96">
        <f t="shared" si="98"/>
        <v>0</v>
      </c>
      <c r="BJ270" s="7" t="s">
        <v>94</v>
      </c>
      <c r="BK270" s="96">
        <f t="shared" si="99"/>
        <v>0</v>
      </c>
      <c r="BL270" s="7" t="s">
        <v>147</v>
      </c>
      <c r="BM270" s="95" t="s">
        <v>461</v>
      </c>
    </row>
    <row r="271" spans="2:65" s="1" customFormat="1" ht="16.5" customHeight="1">
      <c r="B271" s="83"/>
      <c r="C271" s="84">
        <v>118</v>
      </c>
      <c r="D271" s="84" t="s">
        <v>90</v>
      </c>
      <c r="E271" s="85" t="s">
        <v>462</v>
      </c>
      <c r="F271" s="86" t="s">
        <v>463</v>
      </c>
      <c r="G271" s="87" t="s">
        <v>145</v>
      </c>
      <c r="H271" s="88">
        <v>1212.47</v>
      </c>
      <c r="I271" s="89"/>
      <c r="J271" s="89">
        <f t="shared" si="90"/>
        <v>0</v>
      </c>
      <c r="K271" s="90"/>
      <c r="L271" s="15"/>
      <c r="M271" s="91" t="s">
        <v>0</v>
      </c>
      <c r="N271" s="92" t="s">
        <v>23</v>
      </c>
      <c r="O271" s="93">
        <v>0.10407</v>
      </c>
      <c r="P271" s="93">
        <f t="shared" si="91"/>
        <v>126.18175289999999</v>
      </c>
      <c r="Q271" s="93">
        <v>0</v>
      </c>
      <c r="R271" s="93">
        <f t="shared" si="92"/>
        <v>0</v>
      </c>
      <c r="S271" s="93">
        <v>0</v>
      </c>
      <c r="T271" s="94">
        <f t="shared" si="93"/>
        <v>0</v>
      </c>
      <c r="V271" s="118" t="s">
        <v>949</v>
      </c>
      <c r="AR271" s="95" t="s">
        <v>147</v>
      </c>
      <c r="AT271" s="95" t="s">
        <v>90</v>
      </c>
      <c r="AU271" s="95" t="s">
        <v>94</v>
      </c>
      <c r="AY271" s="7" t="s">
        <v>88</v>
      </c>
      <c r="BE271" s="96">
        <f t="shared" si="94"/>
        <v>0</v>
      </c>
      <c r="BF271" s="96">
        <f t="shared" si="95"/>
        <v>0</v>
      </c>
      <c r="BG271" s="96">
        <f t="shared" si="96"/>
        <v>0</v>
      </c>
      <c r="BH271" s="96">
        <f t="shared" si="97"/>
        <v>0</v>
      </c>
      <c r="BI271" s="96">
        <f t="shared" si="98"/>
        <v>0</v>
      </c>
      <c r="BJ271" s="7" t="s">
        <v>94</v>
      </c>
      <c r="BK271" s="96">
        <f t="shared" si="99"/>
        <v>0</v>
      </c>
      <c r="BL271" s="7" t="s">
        <v>147</v>
      </c>
      <c r="BM271" s="95" t="s">
        <v>464</v>
      </c>
    </row>
    <row r="272" spans="2:65" s="1" customFormat="1" ht="37.9" customHeight="1">
      <c r="B272" s="83"/>
      <c r="C272" s="97">
        <v>119</v>
      </c>
      <c r="D272" s="97" t="s">
        <v>138</v>
      </c>
      <c r="E272" s="98" t="s">
        <v>465</v>
      </c>
      <c r="F272" s="99" t="s">
        <v>441</v>
      </c>
      <c r="G272" s="100" t="s">
        <v>92</v>
      </c>
      <c r="H272" s="101">
        <f>H271*0.05*0.05</f>
        <v>3.0311750000000006</v>
      </c>
      <c r="I272" s="102"/>
      <c r="J272" s="102">
        <f t="shared" si="90"/>
        <v>0</v>
      </c>
      <c r="K272" s="103"/>
      <c r="L272" s="104"/>
      <c r="M272" s="105" t="s">
        <v>0</v>
      </c>
      <c r="N272" s="106" t="s">
        <v>23</v>
      </c>
      <c r="O272" s="93">
        <v>0</v>
      </c>
      <c r="P272" s="93">
        <f t="shared" si="91"/>
        <v>0</v>
      </c>
      <c r="Q272" s="93">
        <v>0.5</v>
      </c>
      <c r="R272" s="93">
        <f t="shared" si="92"/>
        <v>1.5155875000000003</v>
      </c>
      <c r="S272" s="93">
        <v>0</v>
      </c>
      <c r="T272" s="94">
        <f t="shared" si="93"/>
        <v>0</v>
      </c>
      <c r="V272" s="118" t="s">
        <v>949</v>
      </c>
      <c r="AR272" s="95" t="s">
        <v>162</v>
      </c>
      <c r="AT272" s="95" t="s">
        <v>138</v>
      </c>
      <c r="AU272" s="95" t="s">
        <v>94</v>
      </c>
      <c r="AY272" s="7" t="s">
        <v>88</v>
      </c>
      <c r="BE272" s="96">
        <f t="shared" si="94"/>
        <v>0</v>
      </c>
      <c r="BF272" s="96">
        <f t="shared" si="95"/>
        <v>0</v>
      </c>
      <c r="BG272" s="96">
        <f t="shared" si="96"/>
        <v>0</v>
      </c>
      <c r="BH272" s="96">
        <f t="shared" si="97"/>
        <v>0</v>
      </c>
      <c r="BI272" s="96">
        <f t="shared" si="98"/>
        <v>0</v>
      </c>
      <c r="BJ272" s="7" t="s">
        <v>94</v>
      </c>
      <c r="BK272" s="96">
        <f t="shared" si="99"/>
        <v>0</v>
      </c>
      <c r="BL272" s="7" t="s">
        <v>147</v>
      </c>
      <c r="BM272" s="95" t="s">
        <v>466</v>
      </c>
    </row>
    <row r="273" spans="2:65" s="1" customFormat="1" ht="37.9" customHeight="1">
      <c r="B273" s="83"/>
      <c r="C273" s="97">
        <v>120</v>
      </c>
      <c r="D273" s="97" t="s">
        <v>138</v>
      </c>
      <c r="E273" s="98" t="s">
        <v>467</v>
      </c>
      <c r="F273" s="99" t="s">
        <v>970</v>
      </c>
      <c r="G273" s="100" t="s">
        <v>160</v>
      </c>
      <c r="H273" s="101">
        <f>H271/25</f>
        <v>48.498800000000003</v>
      </c>
      <c r="I273" s="102"/>
      <c r="J273" s="102">
        <f t="shared" si="90"/>
        <v>0</v>
      </c>
      <c r="K273" s="103"/>
      <c r="L273" s="104"/>
      <c r="M273" s="105" t="s">
        <v>0</v>
      </c>
      <c r="N273" s="106" t="s">
        <v>23</v>
      </c>
      <c r="O273" s="93">
        <v>0</v>
      </c>
      <c r="P273" s="93">
        <f t="shared" si="91"/>
        <v>0</v>
      </c>
      <c r="Q273" s="93">
        <v>5.0000000000000001E-4</v>
      </c>
      <c r="R273" s="93">
        <f t="shared" si="92"/>
        <v>2.4249400000000001E-2</v>
      </c>
      <c r="S273" s="93">
        <v>0</v>
      </c>
      <c r="T273" s="94">
        <f t="shared" si="93"/>
        <v>0</v>
      </c>
      <c r="V273" s="118" t="s">
        <v>949</v>
      </c>
      <c r="AR273" s="95" t="s">
        <v>162</v>
      </c>
      <c r="AT273" s="95" t="s">
        <v>138</v>
      </c>
      <c r="AU273" s="95" t="s">
        <v>94</v>
      </c>
      <c r="AY273" s="7" t="s">
        <v>88</v>
      </c>
      <c r="BE273" s="96">
        <f t="shared" si="94"/>
        <v>0</v>
      </c>
      <c r="BF273" s="96">
        <f t="shared" si="95"/>
        <v>0</v>
      </c>
      <c r="BG273" s="96">
        <f t="shared" si="96"/>
        <v>0</v>
      </c>
      <c r="BH273" s="96">
        <f t="shared" si="97"/>
        <v>0</v>
      </c>
      <c r="BI273" s="96">
        <f t="shared" si="98"/>
        <v>0</v>
      </c>
      <c r="BJ273" s="7" t="s">
        <v>94</v>
      </c>
      <c r="BK273" s="96">
        <f t="shared" si="99"/>
        <v>0</v>
      </c>
      <c r="BL273" s="7" t="s">
        <v>147</v>
      </c>
      <c r="BM273" s="95" t="s">
        <v>468</v>
      </c>
    </row>
    <row r="274" spans="2:65" s="1" customFormat="1" ht="33" customHeight="1">
      <c r="B274" s="83"/>
      <c r="C274" s="84">
        <v>121</v>
      </c>
      <c r="D274" s="84" t="s">
        <v>90</v>
      </c>
      <c r="E274" s="85" t="s">
        <v>469</v>
      </c>
      <c r="F274" s="86" t="s">
        <v>470</v>
      </c>
      <c r="G274" s="87" t="s">
        <v>135</v>
      </c>
      <c r="H274" s="88">
        <f>62.782+420.41</f>
        <v>483.19200000000001</v>
      </c>
      <c r="I274" s="89"/>
      <c r="J274" s="89">
        <f t="shared" si="90"/>
        <v>0</v>
      </c>
      <c r="K274" s="90"/>
      <c r="L274" s="15"/>
      <c r="M274" s="91" t="s">
        <v>0</v>
      </c>
      <c r="N274" s="92" t="s">
        <v>23</v>
      </c>
      <c r="O274" s="93">
        <v>9.5000000000000001E-2</v>
      </c>
      <c r="P274" s="93">
        <f t="shared" si="91"/>
        <v>45.903240000000004</v>
      </c>
      <c r="Q274" s="93">
        <v>0</v>
      </c>
      <c r="R274" s="93">
        <f t="shared" si="92"/>
        <v>0</v>
      </c>
      <c r="S274" s="93">
        <v>1.6E-2</v>
      </c>
      <c r="T274" s="94">
        <f t="shared" si="93"/>
        <v>7.7310720000000002</v>
      </c>
      <c r="V274" s="118" t="s">
        <v>949</v>
      </c>
      <c r="AR274" s="95" t="s">
        <v>147</v>
      </c>
      <c r="AT274" s="95" t="s">
        <v>90</v>
      </c>
      <c r="AU274" s="95" t="s">
        <v>94</v>
      </c>
      <c r="AY274" s="7" t="s">
        <v>88</v>
      </c>
      <c r="BE274" s="96">
        <f t="shared" si="94"/>
        <v>0</v>
      </c>
      <c r="BF274" s="96">
        <f t="shared" si="95"/>
        <v>0</v>
      </c>
      <c r="BG274" s="96">
        <f t="shared" si="96"/>
        <v>0</v>
      </c>
      <c r="BH274" s="96">
        <f t="shared" si="97"/>
        <v>0</v>
      </c>
      <c r="BI274" s="96">
        <f t="shared" si="98"/>
        <v>0</v>
      </c>
      <c r="BJ274" s="7" t="s">
        <v>94</v>
      </c>
      <c r="BK274" s="96">
        <f t="shared" si="99"/>
        <v>0</v>
      </c>
      <c r="BL274" s="7" t="s">
        <v>147</v>
      </c>
      <c r="BM274" s="95" t="s">
        <v>471</v>
      </c>
    </row>
    <row r="275" spans="2:65" s="1" customFormat="1" ht="33" customHeight="1">
      <c r="B275" s="83"/>
      <c r="C275" s="84">
        <v>122</v>
      </c>
      <c r="D275" s="84" t="s">
        <v>90</v>
      </c>
      <c r="E275" s="85" t="s">
        <v>472</v>
      </c>
      <c r="F275" s="86" t="s">
        <v>473</v>
      </c>
      <c r="G275" s="87" t="s">
        <v>135</v>
      </c>
      <c r="H275" s="88">
        <f>1005.62-H274</f>
        <v>522.428</v>
      </c>
      <c r="I275" s="89"/>
      <c r="J275" s="89">
        <f t="shared" si="90"/>
        <v>0</v>
      </c>
      <c r="K275" s="90"/>
      <c r="L275" s="15"/>
      <c r="M275" s="91" t="s">
        <v>0</v>
      </c>
      <c r="N275" s="92" t="s">
        <v>23</v>
      </c>
      <c r="O275" s="93">
        <v>4.7E-2</v>
      </c>
      <c r="P275" s="93">
        <f t="shared" si="91"/>
        <v>24.554116</v>
      </c>
      <c r="Q275" s="93">
        <v>0</v>
      </c>
      <c r="R275" s="93">
        <f t="shared" si="92"/>
        <v>0</v>
      </c>
      <c r="S275" s="93">
        <v>5.0000000000000001E-3</v>
      </c>
      <c r="T275" s="94">
        <f t="shared" si="93"/>
        <v>2.6121400000000001</v>
      </c>
      <c r="V275" s="118" t="s">
        <v>949</v>
      </c>
      <c r="AR275" s="95" t="s">
        <v>147</v>
      </c>
      <c r="AT275" s="95" t="s">
        <v>90</v>
      </c>
      <c r="AU275" s="95" t="s">
        <v>94</v>
      </c>
      <c r="AY275" s="7" t="s">
        <v>88</v>
      </c>
      <c r="BE275" s="96">
        <f t="shared" si="94"/>
        <v>0</v>
      </c>
      <c r="BF275" s="96">
        <f t="shared" si="95"/>
        <v>0</v>
      </c>
      <c r="BG275" s="96">
        <f t="shared" si="96"/>
        <v>0</v>
      </c>
      <c r="BH275" s="96">
        <f t="shared" si="97"/>
        <v>0</v>
      </c>
      <c r="BI275" s="96">
        <f t="shared" si="98"/>
        <v>0</v>
      </c>
      <c r="BJ275" s="7" t="s">
        <v>94</v>
      </c>
      <c r="BK275" s="96">
        <f t="shared" si="99"/>
        <v>0</v>
      </c>
      <c r="BL275" s="7" t="s">
        <v>147</v>
      </c>
      <c r="BM275" s="95" t="s">
        <v>474</v>
      </c>
    </row>
    <row r="276" spans="2:65" s="1" customFormat="1" ht="44.25" customHeight="1">
      <c r="B276" s="83"/>
      <c r="C276" s="84">
        <v>123</v>
      </c>
      <c r="D276" s="84" t="s">
        <v>90</v>
      </c>
      <c r="E276" s="85" t="s">
        <v>475</v>
      </c>
      <c r="F276" s="86" t="s">
        <v>476</v>
      </c>
      <c r="G276" s="87" t="s">
        <v>92</v>
      </c>
      <c r="H276" s="88">
        <f>H266+H268*0.03</f>
        <v>53.501490000000004</v>
      </c>
      <c r="I276" s="89"/>
      <c r="J276" s="89">
        <f t="shared" si="90"/>
        <v>0</v>
      </c>
      <c r="K276" s="90"/>
      <c r="L276" s="15"/>
      <c r="M276" s="91" t="s">
        <v>0</v>
      </c>
      <c r="N276" s="92" t="s">
        <v>23</v>
      </c>
      <c r="O276" s="93">
        <v>9.92E-3</v>
      </c>
      <c r="P276" s="93">
        <f t="shared" si="91"/>
        <v>0.53073478080000003</v>
      </c>
      <c r="Q276" s="93">
        <v>2.2350169999999999E-2</v>
      </c>
      <c r="R276" s="93">
        <f t="shared" si="92"/>
        <v>1.1957673967533</v>
      </c>
      <c r="S276" s="93">
        <v>0</v>
      </c>
      <c r="T276" s="94">
        <f t="shared" si="93"/>
        <v>0</v>
      </c>
      <c r="V276" s="118" t="s">
        <v>949</v>
      </c>
      <c r="AR276" s="95" t="s">
        <v>147</v>
      </c>
      <c r="AT276" s="95" t="s">
        <v>90</v>
      </c>
      <c r="AU276" s="95" t="s">
        <v>94</v>
      </c>
      <c r="AY276" s="7" t="s">
        <v>88</v>
      </c>
      <c r="BE276" s="96">
        <f t="shared" si="94"/>
        <v>0</v>
      </c>
      <c r="BF276" s="96">
        <f t="shared" si="95"/>
        <v>0</v>
      </c>
      <c r="BG276" s="96">
        <f t="shared" si="96"/>
        <v>0</v>
      </c>
      <c r="BH276" s="96">
        <f t="shared" si="97"/>
        <v>0</v>
      </c>
      <c r="BI276" s="96">
        <f t="shared" si="98"/>
        <v>0</v>
      </c>
      <c r="BJ276" s="7" t="s">
        <v>94</v>
      </c>
      <c r="BK276" s="96">
        <f t="shared" si="99"/>
        <v>0</v>
      </c>
      <c r="BL276" s="7" t="s">
        <v>147</v>
      </c>
      <c r="BM276" s="95" t="s">
        <v>477</v>
      </c>
    </row>
    <row r="277" spans="2:65" s="1" customFormat="1" ht="24.2" customHeight="1">
      <c r="B277" s="83"/>
      <c r="C277" s="84">
        <v>124</v>
      </c>
      <c r="D277" s="84" t="s">
        <v>90</v>
      </c>
      <c r="E277" s="85" t="s">
        <v>478</v>
      </c>
      <c r="F277" s="86" t="s">
        <v>479</v>
      </c>
      <c r="G277" s="87" t="s">
        <v>394</v>
      </c>
      <c r="H277" s="88">
        <v>983.28099999999995</v>
      </c>
      <c r="I277" s="89"/>
      <c r="J277" s="89">
        <f t="shared" si="90"/>
        <v>0</v>
      </c>
      <c r="K277" s="90"/>
      <c r="L277" s="15"/>
      <c r="M277" s="91" t="s">
        <v>0</v>
      </c>
      <c r="N277" s="92" t="s">
        <v>23</v>
      </c>
      <c r="O277" s="93">
        <v>0</v>
      </c>
      <c r="P277" s="93">
        <f t="shared" si="91"/>
        <v>0</v>
      </c>
      <c r="Q277" s="93">
        <v>0</v>
      </c>
      <c r="R277" s="93">
        <f t="shared" si="92"/>
        <v>0</v>
      </c>
      <c r="S277" s="93">
        <v>0</v>
      </c>
      <c r="T277" s="94">
        <f t="shared" si="93"/>
        <v>0</v>
      </c>
      <c r="V277" s="118" t="s">
        <v>949</v>
      </c>
      <c r="AR277" s="95" t="s">
        <v>147</v>
      </c>
      <c r="AT277" s="95" t="s">
        <v>90</v>
      </c>
      <c r="AU277" s="95" t="s">
        <v>94</v>
      </c>
      <c r="AY277" s="7" t="s">
        <v>88</v>
      </c>
      <c r="BE277" s="96">
        <f t="shared" si="94"/>
        <v>0</v>
      </c>
      <c r="BF277" s="96">
        <f t="shared" si="95"/>
        <v>0</v>
      </c>
      <c r="BG277" s="96">
        <f t="shared" si="96"/>
        <v>0</v>
      </c>
      <c r="BH277" s="96">
        <f t="shared" si="97"/>
        <v>0</v>
      </c>
      <c r="BI277" s="96">
        <f t="shared" si="98"/>
        <v>0</v>
      </c>
      <c r="BJ277" s="7" t="s">
        <v>94</v>
      </c>
      <c r="BK277" s="96">
        <f t="shared" si="99"/>
        <v>0</v>
      </c>
      <c r="BL277" s="7" t="s">
        <v>147</v>
      </c>
      <c r="BM277" s="95" t="s">
        <v>480</v>
      </c>
    </row>
    <row r="278" spans="2:65" s="6" customFormat="1" ht="22.9" customHeight="1">
      <c r="B278" s="72"/>
      <c r="D278" s="73" t="s">
        <v>39</v>
      </c>
      <c r="E278" s="81" t="s">
        <v>481</v>
      </c>
      <c r="F278" s="81" t="s">
        <v>482</v>
      </c>
      <c r="J278" s="82">
        <f>SUM(J279:J289)</f>
        <v>0</v>
      </c>
      <c r="L278" s="72"/>
      <c r="M278" s="76"/>
      <c r="P278" s="77">
        <f>SUM(P279:P289)</f>
        <v>2100.7334322500001</v>
      </c>
      <c r="R278" s="77">
        <f>SUM(R279:R289)</f>
        <v>64.605517743439975</v>
      </c>
      <c r="T278" s="78">
        <f>SUM(T279:T289)</f>
        <v>0</v>
      </c>
      <c r="AR278" s="73" t="s">
        <v>94</v>
      </c>
      <c r="AT278" s="79" t="s">
        <v>39</v>
      </c>
      <c r="AU278" s="79" t="s">
        <v>41</v>
      </c>
      <c r="AY278" s="73" t="s">
        <v>88</v>
      </c>
      <c r="BK278" s="80">
        <f>SUM(BK279:BK289)</f>
        <v>0</v>
      </c>
    </row>
    <row r="279" spans="2:65" s="1" customFormat="1" ht="49.15" customHeight="1">
      <c r="B279" s="83"/>
      <c r="C279" s="84">
        <v>125</v>
      </c>
      <c r="D279" s="84" t="s">
        <v>90</v>
      </c>
      <c r="E279" s="85" t="s">
        <v>483</v>
      </c>
      <c r="F279" s="86" t="s">
        <v>972</v>
      </c>
      <c r="G279" s="87" t="s">
        <v>135</v>
      </c>
      <c r="H279" s="88">
        <v>63.1</v>
      </c>
      <c r="I279" s="89"/>
      <c r="J279" s="89">
        <f t="shared" ref="J279:J289" si="100">ROUND(I279*H279,2)</f>
        <v>0</v>
      </c>
      <c r="K279" s="90"/>
      <c r="L279" s="15"/>
      <c r="M279" s="91" t="s">
        <v>0</v>
      </c>
      <c r="N279" s="92" t="s">
        <v>23</v>
      </c>
      <c r="O279" s="93">
        <v>1.1815</v>
      </c>
      <c r="P279" s="93">
        <f t="shared" ref="P279:P289" si="101">O279*H279</f>
        <v>74.55265</v>
      </c>
      <c r="Q279" s="93">
        <v>4.082446E-2</v>
      </c>
      <c r="R279" s="93">
        <f t="shared" ref="R279:R289" si="102">Q279*H279</f>
        <v>2.5760234259999999</v>
      </c>
      <c r="S279" s="93">
        <v>0</v>
      </c>
      <c r="T279" s="94">
        <f t="shared" ref="T279:T289" si="103">S279*H279</f>
        <v>0</v>
      </c>
      <c r="V279" s="127" t="s">
        <v>956</v>
      </c>
      <c r="AR279" s="95" t="s">
        <v>147</v>
      </c>
      <c r="AT279" s="95" t="s">
        <v>90</v>
      </c>
      <c r="AU279" s="95" t="s">
        <v>94</v>
      </c>
      <c r="AY279" s="7" t="s">
        <v>88</v>
      </c>
      <c r="BE279" s="96">
        <f t="shared" ref="BE279:BE289" si="104">IF(N279="základná",J279,0)</f>
        <v>0</v>
      </c>
      <c r="BF279" s="96">
        <f t="shared" ref="BF279:BF289" si="105">IF(N279="znížená",J279,0)</f>
        <v>0</v>
      </c>
      <c r="BG279" s="96">
        <f t="shared" ref="BG279:BG289" si="106">IF(N279="zákl. prenesená",J279,0)</f>
        <v>0</v>
      </c>
      <c r="BH279" s="96">
        <f t="shared" ref="BH279:BH289" si="107">IF(N279="zníž. prenesená",J279,0)</f>
        <v>0</v>
      </c>
      <c r="BI279" s="96">
        <f t="shared" ref="BI279:BI289" si="108">IF(N279="nulová",J279,0)</f>
        <v>0</v>
      </c>
      <c r="BJ279" s="7" t="s">
        <v>94</v>
      </c>
      <c r="BK279" s="96">
        <f t="shared" ref="BK279:BK289" si="109">ROUND(I279*H279,2)</f>
        <v>0</v>
      </c>
      <c r="BL279" s="7" t="s">
        <v>147</v>
      </c>
      <c r="BM279" s="95" t="s">
        <v>484</v>
      </c>
    </row>
    <row r="280" spans="2:65" s="1" customFormat="1" ht="50.45" customHeight="1">
      <c r="B280" s="83"/>
      <c r="C280" s="84">
        <v>126</v>
      </c>
      <c r="D280" s="84" t="s">
        <v>90</v>
      </c>
      <c r="E280" s="85" t="s">
        <v>485</v>
      </c>
      <c r="F280" s="86" t="s">
        <v>973</v>
      </c>
      <c r="G280" s="87" t="s">
        <v>135</v>
      </c>
      <c r="H280" s="88">
        <v>759.93</v>
      </c>
      <c r="I280" s="89"/>
      <c r="J280" s="89">
        <f t="shared" si="100"/>
        <v>0</v>
      </c>
      <c r="K280" s="90"/>
      <c r="L280" s="15"/>
      <c r="M280" s="91" t="s">
        <v>0</v>
      </c>
      <c r="N280" s="92" t="s">
        <v>23</v>
      </c>
      <c r="O280" s="93">
        <v>1.3692</v>
      </c>
      <c r="P280" s="93">
        <f t="shared" si="101"/>
        <v>1040.4961559999999</v>
      </c>
      <c r="Q280" s="93">
        <v>4.8289119999999998E-2</v>
      </c>
      <c r="R280" s="93">
        <f t="shared" si="102"/>
        <v>36.696350961599997</v>
      </c>
      <c r="S280" s="93">
        <v>0</v>
      </c>
      <c r="T280" s="94">
        <f t="shared" si="103"/>
        <v>0</v>
      </c>
      <c r="V280" s="127" t="s">
        <v>956</v>
      </c>
      <c r="AR280" s="95" t="s">
        <v>147</v>
      </c>
      <c r="AT280" s="95" t="s">
        <v>90</v>
      </c>
      <c r="AU280" s="95" t="s">
        <v>94</v>
      </c>
      <c r="AY280" s="7" t="s">
        <v>88</v>
      </c>
      <c r="BE280" s="96">
        <f t="shared" si="104"/>
        <v>0</v>
      </c>
      <c r="BF280" s="96">
        <f t="shared" si="105"/>
        <v>0</v>
      </c>
      <c r="BG280" s="96">
        <f t="shared" si="106"/>
        <v>0</v>
      </c>
      <c r="BH280" s="96">
        <f t="shared" si="107"/>
        <v>0</v>
      </c>
      <c r="BI280" s="96">
        <f t="shared" si="108"/>
        <v>0</v>
      </c>
      <c r="BJ280" s="7" t="s">
        <v>94</v>
      </c>
      <c r="BK280" s="96">
        <f t="shared" si="109"/>
        <v>0</v>
      </c>
      <c r="BL280" s="7" t="s">
        <v>147</v>
      </c>
      <c r="BM280" s="95" t="s">
        <v>486</v>
      </c>
    </row>
    <row r="281" spans="2:65" s="1" customFormat="1" ht="54.6" customHeight="1">
      <c r="B281" s="83"/>
      <c r="C281" s="84">
        <v>127</v>
      </c>
      <c r="D281" s="84" t="s">
        <v>90</v>
      </c>
      <c r="E281" s="85" t="s">
        <v>487</v>
      </c>
      <c r="F281" s="86" t="s">
        <v>975</v>
      </c>
      <c r="G281" s="87" t="s">
        <v>135</v>
      </c>
      <c r="H281" s="88">
        <v>213.39</v>
      </c>
      <c r="I281" s="89"/>
      <c r="J281" s="89">
        <f t="shared" si="100"/>
        <v>0</v>
      </c>
      <c r="K281" s="90"/>
      <c r="L281" s="15"/>
      <c r="M281" s="91" t="s">
        <v>0</v>
      </c>
      <c r="N281" s="92" t="s">
        <v>23</v>
      </c>
      <c r="O281" s="93">
        <v>1.2697000000000001</v>
      </c>
      <c r="P281" s="93">
        <f t="shared" si="101"/>
        <v>270.941283</v>
      </c>
      <c r="Q281" s="93">
        <v>2.2284060000000001E-2</v>
      </c>
      <c r="R281" s="93">
        <f t="shared" si="102"/>
        <v>4.7551955634</v>
      </c>
      <c r="S281" s="93">
        <v>0</v>
      </c>
      <c r="T281" s="94">
        <f t="shared" si="103"/>
        <v>0</v>
      </c>
      <c r="V281" s="127" t="s">
        <v>956</v>
      </c>
      <c r="AR281" s="95" t="s">
        <v>147</v>
      </c>
      <c r="AT281" s="95" t="s">
        <v>90</v>
      </c>
      <c r="AU281" s="95" t="s">
        <v>94</v>
      </c>
      <c r="AY281" s="7" t="s">
        <v>88</v>
      </c>
      <c r="BE281" s="96">
        <f t="shared" si="104"/>
        <v>0</v>
      </c>
      <c r="BF281" s="96">
        <f t="shared" si="105"/>
        <v>0</v>
      </c>
      <c r="BG281" s="96">
        <f t="shared" si="106"/>
        <v>0</v>
      </c>
      <c r="BH281" s="96">
        <f t="shared" si="107"/>
        <v>0</v>
      </c>
      <c r="BI281" s="96">
        <f t="shared" si="108"/>
        <v>0</v>
      </c>
      <c r="BJ281" s="7" t="s">
        <v>94</v>
      </c>
      <c r="BK281" s="96">
        <f t="shared" si="109"/>
        <v>0</v>
      </c>
      <c r="BL281" s="7" t="s">
        <v>147</v>
      </c>
      <c r="BM281" s="95" t="s">
        <v>488</v>
      </c>
    </row>
    <row r="282" spans="2:65" s="1" customFormat="1" ht="37.9" customHeight="1">
      <c r="B282" s="83"/>
      <c r="C282" s="84">
        <v>128</v>
      </c>
      <c r="D282" s="84" t="s">
        <v>90</v>
      </c>
      <c r="E282" s="85" t="s">
        <v>489</v>
      </c>
      <c r="F282" s="86" t="s">
        <v>944</v>
      </c>
      <c r="G282" s="87" t="s">
        <v>135</v>
      </c>
      <c r="H282" s="88">
        <v>539.15</v>
      </c>
      <c r="I282" s="89"/>
      <c r="J282" s="89">
        <f t="shared" si="100"/>
        <v>0</v>
      </c>
      <c r="K282" s="90"/>
      <c r="L282" s="15"/>
      <c r="M282" s="91" t="s">
        <v>0</v>
      </c>
      <c r="N282" s="92" t="s">
        <v>23</v>
      </c>
      <c r="O282" s="93">
        <v>1.0648599999999999</v>
      </c>
      <c r="P282" s="93">
        <f t="shared" si="101"/>
        <v>574.11926899999992</v>
      </c>
      <c r="Q282" s="93">
        <v>3.0951159999999998E-2</v>
      </c>
      <c r="R282" s="93">
        <f t="shared" si="102"/>
        <v>16.687317913999998</v>
      </c>
      <c r="S282" s="93">
        <v>0</v>
      </c>
      <c r="T282" s="94">
        <f t="shared" si="103"/>
        <v>0</v>
      </c>
      <c r="V282" s="127" t="s">
        <v>956</v>
      </c>
      <c r="AR282" s="95" t="s">
        <v>147</v>
      </c>
      <c r="AT282" s="95" t="s">
        <v>90</v>
      </c>
      <c r="AU282" s="95" t="s">
        <v>94</v>
      </c>
      <c r="AY282" s="7" t="s">
        <v>88</v>
      </c>
      <c r="BE282" s="96">
        <f t="shared" si="104"/>
        <v>0</v>
      </c>
      <c r="BF282" s="96">
        <f t="shared" si="105"/>
        <v>0</v>
      </c>
      <c r="BG282" s="96">
        <f t="shared" si="106"/>
        <v>0</v>
      </c>
      <c r="BH282" s="96">
        <f t="shared" si="107"/>
        <v>0</v>
      </c>
      <c r="BI282" s="96">
        <f t="shared" si="108"/>
        <v>0</v>
      </c>
      <c r="BJ282" s="7" t="s">
        <v>94</v>
      </c>
      <c r="BK282" s="96">
        <f t="shared" si="109"/>
        <v>0</v>
      </c>
      <c r="BL282" s="7" t="s">
        <v>147</v>
      </c>
      <c r="BM282" s="95" t="s">
        <v>490</v>
      </c>
    </row>
    <row r="283" spans="2:65" s="1" customFormat="1" ht="37.9" customHeight="1">
      <c r="B283" s="83"/>
      <c r="C283" s="84">
        <v>129</v>
      </c>
      <c r="D283" s="84" t="s">
        <v>90</v>
      </c>
      <c r="E283" s="85" t="s">
        <v>491</v>
      </c>
      <c r="F283" s="86" t="s">
        <v>936</v>
      </c>
      <c r="G283" s="87" t="s">
        <v>135</v>
      </c>
      <c r="H283" s="88">
        <v>74.56</v>
      </c>
      <c r="I283" s="89"/>
      <c r="J283" s="89">
        <f t="shared" si="100"/>
        <v>0</v>
      </c>
      <c r="K283" s="90"/>
      <c r="L283" s="15"/>
      <c r="M283" s="91" t="s">
        <v>0</v>
      </c>
      <c r="N283" s="92" t="s">
        <v>23</v>
      </c>
      <c r="O283" s="93">
        <v>1.0649999999999999</v>
      </c>
      <c r="P283" s="93">
        <f t="shared" si="101"/>
        <v>79.406400000000005</v>
      </c>
      <c r="Q283" s="93">
        <v>3.0949999999999998E-2</v>
      </c>
      <c r="R283" s="93">
        <f t="shared" si="102"/>
        <v>2.3076319999999999</v>
      </c>
      <c r="S283" s="93">
        <v>0</v>
      </c>
      <c r="T283" s="94">
        <f t="shared" si="103"/>
        <v>0</v>
      </c>
      <c r="V283" s="127" t="s">
        <v>956</v>
      </c>
      <c r="AR283" s="95" t="s">
        <v>147</v>
      </c>
      <c r="AT283" s="95" t="s">
        <v>90</v>
      </c>
      <c r="AU283" s="95" t="s">
        <v>94</v>
      </c>
      <c r="AY283" s="7" t="s">
        <v>88</v>
      </c>
      <c r="BE283" s="96">
        <f t="shared" si="104"/>
        <v>0</v>
      </c>
      <c r="BF283" s="96">
        <f t="shared" si="105"/>
        <v>0</v>
      </c>
      <c r="BG283" s="96">
        <f t="shared" si="106"/>
        <v>0</v>
      </c>
      <c r="BH283" s="96">
        <f t="shared" si="107"/>
        <v>0</v>
      </c>
      <c r="BI283" s="96">
        <f t="shared" si="108"/>
        <v>0</v>
      </c>
      <c r="BJ283" s="7" t="s">
        <v>94</v>
      </c>
      <c r="BK283" s="96">
        <f t="shared" si="109"/>
        <v>0</v>
      </c>
      <c r="BL283" s="7" t="s">
        <v>147</v>
      </c>
      <c r="BM283" s="95" t="s">
        <v>492</v>
      </c>
    </row>
    <row r="284" spans="2:65" s="1" customFormat="1" ht="37.9" customHeight="1">
      <c r="B284" s="83"/>
      <c r="C284" s="84">
        <v>130</v>
      </c>
      <c r="D284" s="84" t="s">
        <v>90</v>
      </c>
      <c r="E284" s="85" t="s">
        <v>491</v>
      </c>
      <c r="F284" s="86" t="s">
        <v>943</v>
      </c>
      <c r="G284" s="147" t="s">
        <v>135</v>
      </c>
      <c r="H284" s="88">
        <v>81.849999999999994</v>
      </c>
      <c r="I284" s="89"/>
      <c r="J284" s="89">
        <f t="shared" ref="J284" si="110">ROUND(I284*H284,2)</f>
        <v>0</v>
      </c>
      <c r="K284" s="90"/>
      <c r="L284" s="15"/>
      <c r="M284" s="91"/>
      <c r="N284" s="92"/>
      <c r="O284" s="93"/>
      <c r="P284" s="93"/>
      <c r="Q284" s="93"/>
      <c r="R284" s="93"/>
      <c r="S284" s="93"/>
      <c r="T284" s="94"/>
      <c r="V284" s="127" t="s">
        <v>956</v>
      </c>
      <c r="AR284" s="95"/>
      <c r="AT284" s="95"/>
      <c r="AU284" s="95"/>
      <c r="AY284" s="7"/>
      <c r="BE284" s="96"/>
      <c r="BF284" s="96"/>
      <c r="BG284" s="96"/>
      <c r="BH284" s="96"/>
      <c r="BI284" s="96"/>
      <c r="BJ284" s="7"/>
      <c r="BK284" s="96"/>
      <c r="BL284" s="7"/>
      <c r="BM284" s="95"/>
    </row>
    <row r="285" spans="2:65" s="1" customFormat="1" ht="24.2" customHeight="1">
      <c r="B285" s="83"/>
      <c r="C285" s="84">
        <v>131</v>
      </c>
      <c r="D285" s="84" t="s">
        <v>90</v>
      </c>
      <c r="E285" s="85" t="s">
        <v>493</v>
      </c>
      <c r="F285" s="86" t="s">
        <v>494</v>
      </c>
      <c r="G285" s="87" t="s">
        <v>135</v>
      </c>
      <c r="H285" s="88">
        <v>51.823999999999998</v>
      </c>
      <c r="I285" s="89"/>
      <c r="J285" s="89">
        <f t="shared" si="100"/>
        <v>0</v>
      </c>
      <c r="K285" s="90"/>
      <c r="L285" s="15"/>
      <c r="M285" s="91" t="s">
        <v>0</v>
      </c>
      <c r="N285" s="92" t="s">
        <v>23</v>
      </c>
      <c r="O285" s="93">
        <v>0.68540000000000001</v>
      </c>
      <c r="P285" s="93">
        <f t="shared" si="101"/>
        <v>35.520169600000003</v>
      </c>
      <c r="Q285" s="93">
        <v>1.3850960000000001E-2</v>
      </c>
      <c r="R285" s="93">
        <f t="shared" si="102"/>
        <v>0.71781215103999996</v>
      </c>
      <c r="S285" s="93">
        <v>0</v>
      </c>
      <c r="T285" s="94">
        <f t="shared" si="103"/>
        <v>0</v>
      </c>
      <c r="V285" s="127" t="s">
        <v>956</v>
      </c>
      <c r="AR285" s="95" t="s">
        <v>147</v>
      </c>
      <c r="AT285" s="95" t="s">
        <v>90</v>
      </c>
      <c r="AU285" s="95" t="s">
        <v>94</v>
      </c>
      <c r="AY285" s="7" t="s">
        <v>88</v>
      </c>
      <c r="BE285" s="96">
        <f t="shared" si="104"/>
        <v>0</v>
      </c>
      <c r="BF285" s="96">
        <f t="shared" si="105"/>
        <v>0</v>
      </c>
      <c r="BG285" s="96">
        <f t="shared" si="106"/>
        <v>0</v>
      </c>
      <c r="BH285" s="96">
        <f t="shared" si="107"/>
        <v>0</v>
      </c>
      <c r="BI285" s="96">
        <f t="shared" si="108"/>
        <v>0</v>
      </c>
      <c r="BJ285" s="7" t="s">
        <v>94</v>
      </c>
      <c r="BK285" s="96">
        <f t="shared" si="109"/>
        <v>0</v>
      </c>
      <c r="BL285" s="7" t="s">
        <v>147</v>
      </c>
      <c r="BM285" s="95" t="s">
        <v>495</v>
      </c>
    </row>
    <row r="286" spans="2:65" s="1" customFormat="1" ht="37.9" customHeight="1">
      <c r="B286" s="83"/>
      <c r="C286" s="84">
        <v>132</v>
      </c>
      <c r="D286" s="84" t="s">
        <v>90</v>
      </c>
      <c r="E286" s="85" t="s">
        <v>496</v>
      </c>
      <c r="F286" s="86" t="s">
        <v>497</v>
      </c>
      <c r="G286" s="87" t="s">
        <v>135</v>
      </c>
      <c r="H286" s="88">
        <v>21.895</v>
      </c>
      <c r="I286" s="89"/>
      <c r="J286" s="89">
        <f t="shared" si="100"/>
        <v>0</v>
      </c>
      <c r="K286" s="90"/>
      <c r="L286" s="15"/>
      <c r="M286" s="91" t="s">
        <v>0</v>
      </c>
      <c r="N286" s="92" t="s">
        <v>23</v>
      </c>
      <c r="O286" s="93">
        <v>1.17367</v>
      </c>
      <c r="P286" s="93">
        <f t="shared" si="101"/>
        <v>25.697504649999999</v>
      </c>
      <c r="Q286" s="93">
        <v>3.3326120000000001E-2</v>
      </c>
      <c r="R286" s="93">
        <f t="shared" si="102"/>
        <v>0.72967539739999998</v>
      </c>
      <c r="S286" s="93">
        <v>0</v>
      </c>
      <c r="T286" s="94">
        <f t="shared" si="103"/>
        <v>0</v>
      </c>
      <c r="V286" s="118" t="s">
        <v>949</v>
      </c>
      <c r="AR286" s="95" t="s">
        <v>147</v>
      </c>
      <c r="AT286" s="95" t="s">
        <v>90</v>
      </c>
      <c r="AU286" s="95" t="s">
        <v>94</v>
      </c>
      <c r="AY286" s="7" t="s">
        <v>88</v>
      </c>
      <c r="BE286" s="96">
        <f t="shared" si="104"/>
        <v>0</v>
      </c>
      <c r="BF286" s="96">
        <f t="shared" si="105"/>
        <v>0</v>
      </c>
      <c r="BG286" s="96">
        <f t="shared" si="106"/>
        <v>0</v>
      </c>
      <c r="BH286" s="96">
        <f t="shared" si="107"/>
        <v>0</v>
      </c>
      <c r="BI286" s="96">
        <f t="shared" si="108"/>
        <v>0</v>
      </c>
      <c r="BJ286" s="7" t="s">
        <v>94</v>
      </c>
      <c r="BK286" s="96">
        <f t="shared" si="109"/>
        <v>0</v>
      </c>
      <c r="BL286" s="7" t="s">
        <v>147</v>
      </c>
      <c r="BM286" s="95" t="s">
        <v>498</v>
      </c>
    </row>
    <row r="287" spans="2:65" s="1" customFormat="1" ht="24.2" customHeight="1">
      <c r="B287" s="83"/>
      <c r="C287" s="97">
        <v>133</v>
      </c>
      <c r="D287" s="97" t="s">
        <v>138</v>
      </c>
      <c r="E287" s="98" t="s">
        <v>499</v>
      </c>
      <c r="F287" s="99" t="s">
        <v>1005</v>
      </c>
      <c r="G287" s="100" t="s">
        <v>135</v>
      </c>
      <c r="H287" s="101">
        <f>756.9+21.895</f>
        <v>778.79499999999996</v>
      </c>
      <c r="I287" s="102"/>
      <c r="J287" s="102">
        <f t="shared" si="100"/>
        <v>0</v>
      </c>
      <c r="K287" s="103"/>
      <c r="L287" s="104"/>
      <c r="M287" s="105" t="s">
        <v>0</v>
      </c>
      <c r="N287" s="106" t="s">
        <v>23</v>
      </c>
      <c r="O287" s="93">
        <v>0</v>
      </c>
      <c r="P287" s="93">
        <f t="shared" si="101"/>
        <v>0</v>
      </c>
      <c r="Q287" s="93">
        <v>1.7000000000000001E-4</v>
      </c>
      <c r="R287" s="93">
        <f t="shared" si="102"/>
        <v>0.13239514999999999</v>
      </c>
      <c r="S287" s="93">
        <v>0</v>
      </c>
      <c r="T287" s="94">
        <f t="shared" si="103"/>
        <v>0</v>
      </c>
      <c r="V287" s="118" t="s">
        <v>949</v>
      </c>
      <c r="AR287" s="95" t="s">
        <v>162</v>
      </c>
      <c r="AT287" s="95" t="s">
        <v>138</v>
      </c>
      <c r="AU287" s="95" t="s">
        <v>94</v>
      </c>
      <c r="AY287" s="7" t="s">
        <v>88</v>
      </c>
      <c r="BE287" s="96">
        <f t="shared" si="104"/>
        <v>0</v>
      </c>
      <c r="BF287" s="96">
        <f t="shared" si="105"/>
        <v>0</v>
      </c>
      <c r="BG287" s="96">
        <f t="shared" si="106"/>
        <v>0</v>
      </c>
      <c r="BH287" s="96">
        <f t="shared" si="107"/>
        <v>0</v>
      </c>
      <c r="BI287" s="96">
        <f t="shared" si="108"/>
        <v>0</v>
      </c>
      <c r="BJ287" s="7" t="s">
        <v>94</v>
      </c>
      <c r="BK287" s="96">
        <f t="shared" si="109"/>
        <v>0</v>
      </c>
      <c r="BL287" s="7" t="s">
        <v>147</v>
      </c>
      <c r="BM287" s="95" t="s">
        <v>500</v>
      </c>
    </row>
    <row r="288" spans="2:65" s="1" customFormat="1" ht="37.9" customHeight="1">
      <c r="B288" s="83"/>
      <c r="C288" s="97">
        <v>134</v>
      </c>
      <c r="D288" s="97" t="s">
        <v>138</v>
      </c>
      <c r="E288" s="98" t="s">
        <v>501</v>
      </c>
      <c r="F288" s="99" t="s">
        <v>1006</v>
      </c>
      <c r="G288" s="100" t="s">
        <v>160</v>
      </c>
      <c r="H288" s="101">
        <f>H287*0.008</f>
        <v>6.2303600000000001</v>
      </c>
      <c r="I288" s="102"/>
      <c r="J288" s="102">
        <f t="shared" si="100"/>
        <v>0</v>
      </c>
      <c r="K288" s="103"/>
      <c r="L288" s="104"/>
      <c r="M288" s="105" t="s">
        <v>0</v>
      </c>
      <c r="N288" s="106" t="s">
        <v>23</v>
      </c>
      <c r="O288" s="93">
        <v>0</v>
      </c>
      <c r="P288" s="93">
        <f t="shared" si="101"/>
        <v>0</v>
      </c>
      <c r="Q288" s="93">
        <v>5.0000000000000001E-4</v>
      </c>
      <c r="R288" s="93">
        <f t="shared" si="102"/>
        <v>3.1151799999999999E-3</v>
      </c>
      <c r="S288" s="93">
        <v>0</v>
      </c>
      <c r="T288" s="94">
        <f t="shared" si="103"/>
        <v>0</v>
      </c>
      <c r="V288" s="118" t="s">
        <v>949</v>
      </c>
      <c r="AR288" s="95" t="s">
        <v>162</v>
      </c>
      <c r="AT288" s="95" t="s">
        <v>138</v>
      </c>
      <c r="AU288" s="95" t="s">
        <v>94</v>
      </c>
      <c r="AY288" s="7" t="s">
        <v>88</v>
      </c>
      <c r="BE288" s="96">
        <f t="shared" si="104"/>
        <v>0</v>
      </c>
      <c r="BF288" s="96">
        <f t="shared" si="105"/>
        <v>0</v>
      </c>
      <c r="BG288" s="96">
        <f t="shared" si="106"/>
        <v>0</v>
      </c>
      <c r="BH288" s="96">
        <f t="shared" si="107"/>
        <v>0</v>
      </c>
      <c r="BI288" s="96">
        <f t="shared" si="108"/>
        <v>0</v>
      </c>
      <c r="BJ288" s="7" t="s">
        <v>94</v>
      </c>
      <c r="BK288" s="96">
        <f t="shared" si="109"/>
        <v>0</v>
      </c>
      <c r="BL288" s="7" t="s">
        <v>147</v>
      </c>
      <c r="BM288" s="95" t="s">
        <v>502</v>
      </c>
    </row>
    <row r="289" spans="2:65" s="1" customFormat="1" ht="21.75" customHeight="1">
      <c r="B289" s="83"/>
      <c r="C289" s="84">
        <v>136</v>
      </c>
      <c r="D289" s="84" t="s">
        <v>90</v>
      </c>
      <c r="E289" s="85" t="s">
        <v>503</v>
      </c>
      <c r="F289" s="86" t="s">
        <v>504</v>
      </c>
      <c r="G289" s="87" t="s">
        <v>394</v>
      </c>
      <c r="H289" s="88">
        <v>659</v>
      </c>
      <c r="I289" s="89"/>
      <c r="J289" s="89">
        <f t="shared" si="100"/>
        <v>0</v>
      </c>
      <c r="K289" s="90"/>
      <c r="L289" s="15"/>
      <c r="M289" s="91" t="s">
        <v>0</v>
      </c>
      <c r="N289" s="92" t="s">
        <v>23</v>
      </c>
      <c r="O289" s="93">
        <v>0</v>
      </c>
      <c r="P289" s="93">
        <f t="shared" si="101"/>
        <v>0</v>
      </c>
      <c r="Q289" s="93">
        <v>0</v>
      </c>
      <c r="R289" s="93">
        <f t="shared" si="102"/>
        <v>0</v>
      </c>
      <c r="S289" s="93">
        <v>0</v>
      </c>
      <c r="T289" s="94">
        <f t="shared" si="103"/>
        <v>0</v>
      </c>
      <c r="V289" s="118" t="s">
        <v>949</v>
      </c>
      <c r="AR289" s="95" t="s">
        <v>147</v>
      </c>
      <c r="AT289" s="95" t="s">
        <v>90</v>
      </c>
      <c r="AU289" s="95" t="s">
        <v>94</v>
      </c>
      <c r="AY289" s="7" t="s">
        <v>88</v>
      </c>
      <c r="BE289" s="96">
        <f t="shared" si="104"/>
        <v>0</v>
      </c>
      <c r="BF289" s="96">
        <f t="shared" si="105"/>
        <v>0</v>
      </c>
      <c r="BG289" s="96">
        <f t="shared" si="106"/>
        <v>0</v>
      </c>
      <c r="BH289" s="96">
        <f t="shared" si="107"/>
        <v>0</v>
      </c>
      <c r="BI289" s="96">
        <f t="shared" si="108"/>
        <v>0</v>
      </c>
      <c r="BJ289" s="7" t="s">
        <v>94</v>
      </c>
      <c r="BK289" s="96">
        <f t="shared" si="109"/>
        <v>0</v>
      </c>
      <c r="BL289" s="7" t="s">
        <v>147</v>
      </c>
      <c r="BM289" s="95" t="s">
        <v>505</v>
      </c>
    </row>
    <row r="290" spans="2:65" s="6" customFormat="1" ht="22.9" customHeight="1">
      <c r="B290" s="72"/>
      <c r="D290" s="73" t="s">
        <v>39</v>
      </c>
      <c r="E290" s="81" t="s">
        <v>506</v>
      </c>
      <c r="F290" s="81" t="s">
        <v>507</v>
      </c>
      <c r="J290" s="82">
        <f>SUM(J291:J323)</f>
        <v>0</v>
      </c>
      <c r="L290" s="72"/>
      <c r="M290" s="76"/>
      <c r="P290" s="77">
        <f>SUM(P291:P323)</f>
        <v>2592.0022592800005</v>
      </c>
      <c r="R290" s="77">
        <f>SUM(R291:R323)</f>
        <v>12.036716501760003</v>
      </c>
      <c r="T290" s="78">
        <f>SUM(T291:T323)</f>
        <v>8.5864083999999998</v>
      </c>
      <c r="AR290" s="73" t="s">
        <v>94</v>
      </c>
      <c r="AT290" s="79" t="s">
        <v>39</v>
      </c>
      <c r="AU290" s="79" t="s">
        <v>41</v>
      </c>
      <c r="AY290" s="73" t="s">
        <v>88</v>
      </c>
      <c r="BK290" s="80">
        <f>SUM(BK291:BK323)</f>
        <v>0</v>
      </c>
    </row>
    <row r="291" spans="2:65" s="1" customFormat="1" ht="24.2" customHeight="1">
      <c r="B291" s="83"/>
      <c r="C291" s="84">
        <v>137</v>
      </c>
      <c r="D291" s="84" t="s">
        <v>90</v>
      </c>
      <c r="E291" s="85" t="s">
        <v>508</v>
      </c>
      <c r="F291" s="86" t="s">
        <v>509</v>
      </c>
      <c r="G291" s="87" t="s">
        <v>135</v>
      </c>
      <c r="H291" s="88">
        <v>1005.62</v>
      </c>
      <c r="I291" s="89"/>
      <c r="J291" s="89">
        <f t="shared" ref="J291:J323" si="111">ROUND(I291*H291,2)</f>
        <v>0</v>
      </c>
      <c r="K291" s="90"/>
      <c r="L291" s="15"/>
      <c r="M291" s="91" t="s">
        <v>0</v>
      </c>
      <c r="N291" s="92" t="s">
        <v>23</v>
      </c>
      <c r="O291" s="93">
        <v>0.104</v>
      </c>
      <c r="P291" s="93">
        <f t="shared" ref="P291:P323" si="112">O291*H291</f>
        <v>104.58448</v>
      </c>
      <c r="Q291" s="93">
        <v>0</v>
      </c>
      <c r="R291" s="93">
        <f t="shared" ref="R291:R323" si="113">Q291*H291</f>
        <v>0</v>
      </c>
      <c r="S291" s="93">
        <v>7.5100000000000002E-3</v>
      </c>
      <c r="T291" s="94">
        <f t="shared" ref="T291:T323" si="114">S291*H291</f>
        <v>7.5522062000000005</v>
      </c>
      <c r="V291" s="118" t="s">
        <v>949</v>
      </c>
      <c r="AR291" s="95" t="s">
        <v>147</v>
      </c>
      <c r="AT291" s="95" t="s">
        <v>90</v>
      </c>
      <c r="AU291" s="95" t="s">
        <v>94</v>
      </c>
      <c r="AY291" s="7" t="s">
        <v>88</v>
      </c>
      <c r="BE291" s="96">
        <f t="shared" ref="BE291:BE323" si="115">IF(N291="základná",J291,0)</f>
        <v>0</v>
      </c>
      <c r="BF291" s="96">
        <f t="shared" ref="BF291:BF323" si="116">IF(N291="znížená",J291,0)</f>
        <v>0</v>
      </c>
      <c r="BG291" s="96">
        <f t="shared" ref="BG291:BG323" si="117">IF(N291="zákl. prenesená",J291,0)</f>
        <v>0</v>
      </c>
      <c r="BH291" s="96">
        <f t="shared" ref="BH291:BH323" si="118">IF(N291="zníž. prenesená",J291,0)</f>
        <v>0</v>
      </c>
      <c r="BI291" s="96">
        <f t="shared" ref="BI291:BI323" si="119">IF(N291="nulová",J291,0)</f>
        <v>0</v>
      </c>
      <c r="BJ291" s="7" t="s">
        <v>94</v>
      </c>
      <c r="BK291" s="96">
        <f t="shared" ref="BK291:BK323" si="120">ROUND(I291*H291,2)</f>
        <v>0</v>
      </c>
      <c r="BL291" s="7" t="s">
        <v>147</v>
      </c>
      <c r="BM291" s="95" t="s">
        <v>510</v>
      </c>
    </row>
    <row r="292" spans="2:65" s="1" customFormat="1" ht="37.9" customHeight="1">
      <c r="B292" s="83"/>
      <c r="C292" s="84">
        <v>138</v>
      </c>
      <c r="D292" s="84" t="s">
        <v>90</v>
      </c>
      <c r="E292" s="85" t="s">
        <v>511</v>
      </c>
      <c r="F292" s="86" t="s">
        <v>512</v>
      </c>
      <c r="G292" s="87" t="s">
        <v>135</v>
      </c>
      <c r="H292" s="88">
        <v>1005.62</v>
      </c>
      <c r="I292" s="89"/>
      <c r="J292" s="89">
        <f t="shared" si="111"/>
        <v>0</v>
      </c>
      <c r="K292" s="90"/>
      <c r="L292" s="15"/>
      <c r="M292" s="91" t="s">
        <v>0</v>
      </c>
      <c r="N292" s="92" t="s">
        <v>23</v>
      </c>
      <c r="O292" s="93">
        <v>0.14026</v>
      </c>
      <c r="P292" s="93">
        <f t="shared" si="112"/>
        <v>141.04826119999998</v>
      </c>
      <c r="Q292" s="93">
        <v>4.6799999999999999E-4</v>
      </c>
      <c r="R292" s="93">
        <f t="shared" si="113"/>
        <v>0.47063016000000002</v>
      </c>
      <c r="S292" s="93">
        <v>0</v>
      </c>
      <c r="T292" s="94">
        <f t="shared" si="114"/>
        <v>0</v>
      </c>
      <c r="V292" s="118" t="s">
        <v>949</v>
      </c>
      <c r="AR292" s="95" t="s">
        <v>147</v>
      </c>
      <c r="AT292" s="95" t="s">
        <v>90</v>
      </c>
      <c r="AU292" s="95" t="s">
        <v>94</v>
      </c>
      <c r="AY292" s="7" t="s">
        <v>88</v>
      </c>
      <c r="BE292" s="96">
        <f t="shared" si="115"/>
        <v>0</v>
      </c>
      <c r="BF292" s="96">
        <f t="shared" si="116"/>
        <v>0</v>
      </c>
      <c r="BG292" s="96">
        <f t="shared" si="117"/>
        <v>0</v>
      </c>
      <c r="BH292" s="96">
        <f t="shared" si="118"/>
        <v>0</v>
      </c>
      <c r="BI292" s="96">
        <f t="shared" si="119"/>
        <v>0</v>
      </c>
      <c r="BJ292" s="7" t="s">
        <v>94</v>
      </c>
      <c r="BK292" s="96">
        <f t="shared" si="120"/>
        <v>0</v>
      </c>
      <c r="BL292" s="7" t="s">
        <v>147</v>
      </c>
      <c r="BM292" s="95" t="s">
        <v>513</v>
      </c>
    </row>
    <row r="293" spans="2:65" s="1" customFormat="1" ht="33" customHeight="1">
      <c r="B293" s="83"/>
      <c r="C293" s="84">
        <v>139</v>
      </c>
      <c r="D293" s="84" t="s">
        <v>90</v>
      </c>
      <c r="E293" s="85" t="s">
        <v>514</v>
      </c>
      <c r="F293" s="86" t="s">
        <v>515</v>
      </c>
      <c r="G293" s="87" t="s">
        <v>135</v>
      </c>
      <c r="H293" s="88">
        <v>1005.62</v>
      </c>
      <c r="I293" s="89"/>
      <c r="J293" s="89">
        <f t="shared" si="111"/>
        <v>0</v>
      </c>
      <c r="K293" s="90"/>
      <c r="L293" s="15"/>
      <c r="M293" s="91" t="s">
        <v>0</v>
      </c>
      <c r="N293" s="92" t="s">
        <v>23</v>
      </c>
      <c r="O293" s="93">
        <v>1.71462</v>
      </c>
      <c r="P293" s="93">
        <f t="shared" si="112"/>
        <v>1724.2561644</v>
      </c>
      <c r="Q293" s="93">
        <v>9.1120000000000003E-3</v>
      </c>
      <c r="R293" s="93">
        <f t="shared" si="113"/>
        <v>9.163209440000001</v>
      </c>
      <c r="S293" s="93">
        <v>0</v>
      </c>
      <c r="T293" s="94">
        <f t="shared" si="114"/>
        <v>0</v>
      </c>
      <c r="V293" s="118" t="s">
        <v>949</v>
      </c>
      <c r="AR293" s="95" t="s">
        <v>147</v>
      </c>
      <c r="AT293" s="95" t="s">
        <v>90</v>
      </c>
      <c r="AU293" s="95" t="s">
        <v>94</v>
      </c>
      <c r="AY293" s="7" t="s">
        <v>88</v>
      </c>
      <c r="BE293" s="96">
        <f t="shared" si="115"/>
        <v>0</v>
      </c>
      <c r="BF293" s="96">
        <f t="shared" si="116"/>
        <v>0</v>
      </c>
      <c r="BG293" s="96">
        <f t="shared" si="117"/>
        <v>0</v>
      </c>
      <c r="BH293" s="96">
        <f t="shared" si="118"/>
        <v>0</v>
      </c>
      <c r="BI293" s="96">
        <f t="shared" si="119"/>
        <v>0</v>
      </c>
      <c r="BJ293" s="7" t="s">
        <v>94</v>
      </c>
      <c r="BK293" s="96">
        <f t="shared" si="120"/>
        <v>0</v>
      </c>
      <c r="BL293" s="7" t="s">
        <v>147</v>
      </c>
      <c r="BM293" s="95" t="s">
        <v>516</v>
      </c>
    </row>
    <row r="294" spans="2:65" s="1" customFormat="1" ht="33" customHeight="1">
      <c r="B294" s="83"/>
      <c r="C294" s="84">
        <v>140</v>
      </c>
      <c r="D294" s="84" t="s">
        <v>90</v>
      </c>
      <c r="E294" s="85" t="s">
        <v>517</v>
      </c>
      <c r="F294" s="86" t="s">
        <v>518</v>
      </c>
      <c r="G294" s="87" t="s">
        <v>145</v>
      </c>
      <c r="H294" s="88">
        <f>91.187+107.277</f>
        <v>198.464</v>
      </c>
      <c r="I294" s="89"/>
      <c r="J294" s="89">
        <f t="shared" si="111"/>
        <v>0</v>
      </c>
      <c r="K294" s="90"/>
      <c r="L294" s="15"/>
      <c r="M294" s="91" t="s">
        <v>0</v>
      </c>
      <c r="N294" s="92" t="s">
        <v>23</v>
      </c>
      <c r="O294" s="93">
        <v>0.53922000000000003</v>
      </c>
      <c r="P294" s="93">
        <f t="shared" si="112"/>
        <v>107.01575808000001</v>
      </c>
      <c r="Q294" s="93">
        <v>2.7512499999999998E-3</v>
      </c>
      <c r="R294" s="93">
        <f t="shared" si="113"/>
        <v>0.54602407999999991</v>
      </c>
      <c r="S294" s="93">
        <v>0</v>
      </c>
      <c r="T294" s="94">
        <f t="shared" si="114"/>
        <v>0</v>
      </c>
      <c r="V294" s="118" t="s">
        <v>949</v>
      </c>
      <c r="AR294" s="95" t="s">
        <v>147</v>
      </c>
      <c r="AT294" s="95" t="s">
        <v>90</v>
      </c>
      <c r="AU294" s="95" t="s">
        <v>94</v>
      </c>
      <c r="AY294" s="7" t="s">
        <v>88</v>
      </c>
      <c r="BE294" s="96">
        <f t="shared" si="115"/>
        <v>0</v>
      </c>
      <c r="BF294" s="96">
        <f t="shared" si="116"/>
        <v>0</v>
      </c>
      <c r="BG294" s="96">
        <f t="shared" si="117"/>
        <v>0</v>
      </c>
      <c r="BH294" s="96">
        <f t="shared" si="118"/>
        <v>0</v>
      </c>
      <c r="BI294" s="96">
        <f t="shared" si="119"/>
        <v>0</v>
      </c>
      <c r="BJ294" s="7" t="s">
        <v>94</v>
      </c>
      <c r="BK294" s="96">
        <f t="shared" si="120"/>
        <v>0</v>
      </c>
      <c r="BL294" s="7" t="s">
        <v>147</v>
      </c>
      <c r="BM294" s="95" t="s">
        <v>519</v>
      </c>
    </row>
    <row r="295" spans="2:65" s="1" customFormat="1" ht="21.75" customHeight="1">
      <c r="B295" s="83"/>
      <c r="C295" s="97">
        <v>141</v>
      </c>
      <c r="D295" s="97" t="s">
        <v>138</v>
      </c>
      <c r="E295" s="98" t="s">
        <v>520</v>
      </c>
      <c r="F295" s="99" t="s">
        <v>521</v>
      </c>
      <c r="G295" s="100" t="s">
        <v>145</v>
      </c>
      <c r="H295" s="101">
        <f>H294*1.05</f>
        <v>208.38720000000001</v>
      </c>
      <c r="I295" s="102"/>
      <c r="J295" s="102">
        <f t="shared" si="111"/>
        <v>0</v>
      </c>
      <c r="K295" s="103"/>
      <c r="L295" s="104"/>
      <c r="M295" s="105" t="s">
        <v>0</v>
      </c>
      <c r="N295" s="106" t="s">
        <v>23</v>
      </c>
      <c r="O295" s="93">
        <v>0</v>
      </c>
      <c r="P295" s="93">
        <f t="shared" si="112"/>
        <v>0</v>
      </c>
      <c r="Q295" s="93">
        <v>2.0000000000000001E-4</v>
      </c>
      <c r="R295" s="93">
        <f t="shared" si="113"/>
        <v>4.1677440000000003E-2</v>
      </c>
      <c r="S295" s="93">
        <v>0</v>
      </c>
      <c r="T295" s="94">
        <f t="shared" si="114"/>
        <v>0</v>
      </c>
      <c r="V295" s="118" t="s">
        <v>949</v>
      </c>
      <c r="AR295" s="95" t="s">
        <v>162</v>
      </c>
      <c r="AT295" s="95" t="s">
        <v>138</v>
      </c>
      <c r="AU295" s="95" t="s">
        <v>94</v>
      </c>
      <c r="AY295" s="7" t="s">
        <v>88</v>
      </c>
      <c r="BE295" s="96">
        <f t="shared" si="115"/>
        <v>0</v>
      </c>
      <c r="BF295" s="96">
        <f t="shared" si="116"/>
        <v>0</v>
      </c>
      <c r="BG295" s="96">
        <f t="shared" si="117"/>
        <v>0</v>
      </c>
      <c r="BH295" s="96">
        <f t="shared" si="118"/>
        <v>0</v>
      </c>
      <c r="BI295" s="96">
        <f t="shared" si="119"/>
        <v>0</v>
      </c>
      <c r="BJ295" s="7" t="s">
        <v>94</v>
      </c>
      <c r="BK295" s="96">
        <f t="shared" si="120"/>
        <v>0</v>
      </c>
      <c r="BL295" s="7" t="s">
        <v>147</v>
      </c>
      <c r="BM295" s="95" t="s">
        <v>522</v>
      </c>
    </row>
    <row r="296" spans="2:65" s="1" customFormat="1" ht="24.2" customHeight="1">
      <c r="B296" s="83"/>
      <c r="C296" s="84">
        <v>142</v>
      </c>
      <c r="D296" s="84" t="s">
        <v>90</v>
      </c>
      <c r="E296" s="85" t="s">
        <v>523</v>
      </c>
      <c r="F296" s="86" t="s">
        <v>524</v>
      </c>
      <c r="G296" s="87" t="s">
        <v>145</v>
      </c>
      <c r="H296" s="88">
        <v>28.5</v>
      </c>
      <c r="I296" s="89"/>
      <c r="J296" s="89">
        <f t="shared" si="111"/>
        <v>0</v>
      </c>
      <c r="K296" s="90"/>
      <c r="L296" s="15"/>
      <c r="M296" s="91" t="s">
        <v>0</v>
      </c>
      <c r="N296" s="92" t="s">
        <v>23</v>
      </c>
      <c r="O296" s="93">
        <v>0.40229999999999999</v>
      </c>
      <c r="P296" s="93">
        <f t="shared" si="112"/>
        <v>11.46555</v>
      </c>
      <c r="Q296" s="93">
        <v>2.6499999999999999E-4</v>
      </c>
      <c r="R296" s="93">
        <f t="shared" si="113"/>
        <v>7.5524999999999993E-3</v>
      </c>
      <c r="S296" s="93">
        <v>0</v>
      </c>
      <c r="T296" s="94">
        <f t="shared" si="114"/>
        <v>0</v>
      </c>
      <c r="V296" s="118" t="s">
        <v>949</v>
      </c>
      <c r="AR296" s="95" t="s">
        <v>147</v>
      </c>
      <c r="AT296" s="95" t="s">
        <v>90</v>
      </c>
      <c r="AU296" s="95" t="s">
        <v>94</v>
      </c>
      <c r="AY296" s="7" t="s">
        <v>88</v>
      </c>
      <c r="BE296" s="96">
        <f t="shared" si="115"/>
        <v>0</v>
      </c>
      <c r="BF296" s="96">
        <f t="shared" si="116"/>
        <v>0</v>
      </c>
      <c r="BG296" s="96">
        <f t="shared" si="117"/>
        <v>0</v>
      </c>
      <c r="BH296" s="96">
        <f t="shared" si="118"/>
        <v>0</v>
      </c>
      <c r="BI296" s="96">
        <f t="shared" si="119"/>
        <v>0</v>
      </c>
      <c r="BJ296" s="7" t="s">
        <v>94</v>
      </c>
      <c r="BK296" s="96">
        <f t="shared" si="120"/>
        <v>0</v>
      </c>
      <c r="BL296" s="7" t="s">
        <v>147</v>
      </c>
      <c r="BM296" s="95" t="s">
        <v>525</v>
      </c>
    </row>
    <row r="297" spans="2:65" s="1" customFormat="1" ht="24.2" customHeight="1">
      <c r="B297" s="83"/>
      <c r="C297" s="84">
        <v>143</v>
      </c>
      <c r="D297" s="84" t="s">
        <v>90</v>
      </c>
      <c r="E297" s="85" t="s">
        <v>526</v>
      </c>
      <c r="F297" s="86" t="s">
        <v>527</v>
      </c>
      <c r="G297" s="87" t="s">
        <v>145</v>
      </c>
      <c r="H297" s="88">
        <v>60.8</v>
      </c>
      <c r="I297" s="89"/>
      <c r="J297" s="89">
        <f t="shared" si="111"/>
        <v>0</v>
      </c>
      <c r="K297" s="90"/>
      <c r="L297" s="15"/>
      <c r="M297" s="91" t="s">
        <v>0</v>
      </c>
      <c r="N297" s="92" t="s">
        <v>23</v>
      </c>
      <c r="O297" s="93">
        <v>0.59009999999999996</v>
      </c>
      <c r="P297" s="93">
        <f t="shared" si="112"/>
        <v>35.878079999999997</v>
      </c>
      <c r="Q297" s="93">
        <v>5.2999999999999998E-4</v>
      </c>
      <c r="R297" s="93">
        <f t="shared" si="113"/>
        <v>3.2223999999999996E-2</v>
      </c>
      <c r="S297" s="93">
        <v>0</v>
      </c>
      <c r="T297" s="94">
        <f t="shared" si="114"/>
        <v>0</v>
      </c>
      <c r="V297" s="118" t="s">
        <v>949</v>
      </c>
      <c r="AR297" s="95" t="s">
        <v>147</v>
      </c>
      <c r="AT297" s="95" t="s">
        <v>90</v>
      </c>
      <c r="AU297" s="95" t="s">
        <v>94</v>
      </c>
      <c r="AY297" s="7" t="s">
        <v>88</v>
      </c>
      <c r="BE297" s="96">
        <f t="shared" si="115"/>
        <v>0</v>
      </c>
      <c r="BF297" s="96">
        <f t="shared" si="116"/>
        <v>0</v>
      </c>
      <c r="BG297" s="96">
        <f t="shared" si="117"/>
        <v>0</v>
      </c>
      <c r="BH297" s="96">
        <f t="shared" si="118"/>
        <v>0</v>
      </c>
      <c r="BI297" s="96">
        <f t="shared" si="119"/>
        <v>0</v>
      </c>
      <c r="BJ297" s="7" t="s">
        <v>94</v>
      </c>
      <c r="BK297" s="96">
        <f t="shared" si="120"/>
        <v>0</v>
      </c>
      <c r="BL297" s="7" t="s">
        <v>147</v>
      </c>
      <c r="BM297" s="95" t="s">
        <v>528</v>
      </c>
    </row>
    <row r="298" spans="2:65" s="1" customFormat="1" ht="24.2" customHeight="1">
      <c r="B298" s="83"/>
      <c r="C298" s="84">
        <v>144</v>
      </c>
      <c r="D298" s="84" t="s">
        <v>90</v>
      </c>
      <c r="E298" s="85" t="s">
        <v>529</v>
      </c>
      <c r="F298" s="86" t="s">
        <v>530</v>
      </c>
      <c r="G298" s="87" t="s">
        <v>145</v>
      </c>
      <c r="H298" s="88">
        <v>97.046000000000006</v>
      </c>
      <c r="I298" s="89"/>
      <c r="J298" s="89">
        <f t="shared" si="111"/>
        <v>0</v>
      </c>
      <c r="K298" s="90"/>
      <c r="L298" s="15"/>
      <c r="M298" s="91" t="s">
        <v>0</v>
      </c>
      <c r="N298" s="92" t="s">
        <v>23</v>
      </c>
      <c r="O298" s="93">
        <v>1.06908</v>
      </c>
      <c r="P298" s="93">
        <f t="shared" si="112"/>
        <v>103.74993768000002</v>
      </c>
      <c r="Q298" s="93">
        <v>4.0117599999999996E-3</v>
      </c>
      <c r="R298" s="93">
        <f t="shared" si="113"/>
        <v>0.38932526095999997</v>
      </c>
      <c r="S298" s="93">
        <v>0</v>
      </c>
      <c r="T298" s="94">
        <f t="shared" si="114"/>
        <v>0</v>
      </c>
      <c r="V298" s="118" t="s">
        <v>949</v>
      </c>
      <c r="AR298" s="95" t="s">
        <v>147</v>
      </c>
      <c r="AT298" s="95" t="s">
        <v>90</v>
      </c>
      <c r="AU298" s="95" t="s">
        <v>94</v>
      </c>
      <c r="AY298" s="7" t="s">
        <v>88</v>
      </c>
      <c r="BE298" s="96">
        <f t="shared" si="115"/>
        <v>0</v>
      </c>
      <c r="BF298" s="96">
        <f t="shared" si="116"/>
        <v>0</v>
      </c>
      <c r="BG298" s="96">
        <f t="shared" si="117"/>
        <v>0</v>
      </c>
      <c r="BH298" s="96">
        <f t="shared" si="118"/>
        <v>0</v>
      </c>
      <c r="BI298" s="96">
        <f t="shared" si="119"/>
        <v>0</v>
      </c>
      <c r="BJ298" s="7" t="s">
        <v>94</v>
      </c>
      <c r="BK298" s="96">
        <f t="shared" si="120"/>
        <v>0</v>
      </c>
      <c r="BL298" s="7" t="s">
        <v>147</v>
      </c>
      <c r="BM298" s="95" t="s">
        <v>531</v>
      </c>
    </row>
    <row r="299" spans="2:65" s="1" customFormat="1" ht="24.2" customHeight="1">
      <c r="B299" s="83"/>
      <c r="C299" s="84">
        <v>145</v>
      </c>
      <c r="D299" s="84" t="s">
        <v>90</v>
      </c>
      <c r="E299" s="85" t="s">
        <v>532</v>
      </c>
      <c r="F299" s="86" t="s">
        <v>533</v>
      </c>
      <c r="G299" s="87" t="s">
        <v>145</v>
      </c>
      <c r="H299" s="88">
        <v>13.231999999999999</v>
      </c>
      <c r="I299" s="89"/>
      <c r="J299" s="89">
        <f t="shared" si="111"/>
        <v>0</v>
      </c>
      <c r="K299" s="90"/>
      <c r="L299" s="15"/>
      <c r="M299" s="91" t="s">
        <v>0</v>
      </c>
      <c r="N299" s="92" t="s">
        <v>23</v>
      </c>
      <c r="O299" s="93">
        <v>0.89488000000000001</v>
      </c>
      <c r="P299" s="93">
        <f t="shared" si="112"/>
        <v>11.84105216</v>
      </c>
      <c r="Q299" s="93">
        <v>2.1557299999999998E-3</v>
      </c>
      <c r="R299" s="93">
        <f t="shared" si="113"/>
        <v>2.8524619359999996E-2</v>
      </c>
      <c r="S299" s="93">
        <v>0</v>
      </c>
      <c r="T299" s="94">
        <f t="shared" si="114"/>
        <v>0</v>
      </c>
      <c r="V299" s="118" t="s">
        <v>949</v>
      </c>
      <c r="AR299" s="95" t="s">
        <v>147</v>
      </c>
      <c r="AT299" s="95" t="s">
        <v>90</v>
      </c>
      <c r="AU299" s="95" t="s">
        <v>94</v>
      </c>
      <c r="AY299" s="7" t="s">
        <v>88</v>
      </c>
      <c r="BE299" s="96">
        <f t="shared" si="115"/>
        <v>0</v>
      </c>
      <c r="BF299" s="96">
        <f t="shared" si="116"/>
        <v>0</v>
      </c>
      <c r="BG299" s="96">
        <f t="shared" si="117"/>
        <v>0</v>
      </c>
      <c r="BH299" s="96">
        <f t="shared" si="118"/>
        <v>0</v>
      </c>
      <c r="BI299" s="96">
        <f t="shared" si="119"/>
        <v>0</v>
      </c>
      <c r="BJ299" s="7" t="s">
        <v>94</v>
      </c>
      <c r="BK299" s="96">
        <f t="shared" si="120"/>
        <v>0</v>
      </c>
      <c r="BL299" s="7" t="s">
        <v>147</v>
      </c>
      <c r="BM299" s="95" t="s">
        <v>534</v>
      </c>
    </row>
    <row r="300" spans="2:65" s="1" customFormat="1" ht="24.2" customHeight="1">
      <c r="B300" s="83"/>
      <c r="C300" s="84">
        <v>146</v>
      </c>
      <c r="D300" s="84" t="s">
        <v>90</v>
      </c>
      <c r="E300" s="85" t="s">
        <v>535</v>
      </c>
      <c r="F300" s="86" t="s">
        <v>536</v>
      </c>
      <c r="G300" s="87" t="s">
        <v>145</v>
      </c>
      <c r="H300" s="88">
        <f>H299+H298</f>
        <v>110.27800000000001</v>
      </c>
      <c r="I300" s="89"/>
      <c r="J300" s="89">
        <f t="shared" si="111"/>
        <v>0</v>
      </c>
      <c r="K300" s="90"/>
      <c r="L300" s="15"/>
      <c r="M300" s="91" t="s">
        <v>0</v>
      </c>
      <c r="N300" s="92" t="s">
        <v>23</v>
      </c>
      <c r="O300" s="93">
        <v>5.6000000000000001E-2</v>
      </c>
      <c r="P300" s="93">
        <f t="shared" si="112"/>
        <v>6.1755680000000002</v>
      </c>
      <c r="Q300" s="93">
        <v>0</v>
      </c>
      <c r="R300" s="93">
        <f t="shared" si="113"/>
        <v>0</v>
      </c>
      <c r="S300" s="93">
        <v>3.3E-3</v>
      </c>
      <c r="T300" s="94">
        <f t="shared" si="114"/>
        <v>0.3639174</v>
      </c>
      <c r="V300" s="118" t="s">
        <v>949</v>
      </c>
      <c r="AR300" s="95" t="s">
        <v>147</v>
      </c>
      <c r="AT300" s="95" t="s">
        <v>90</v>
      </c>
      <c r="AU300" s="95" t="s">
        <v>94</v>
      </c>
      <c r="AY300" s="7" t="s">
        <v>88</v>
      </c>
      <c r="BE300" s="96">
        <f t="shared" si="115"/>
        <v>0</v>
      </c>
      <c r="BF300" s="96">
        <f t="shared" si="116"/>
        <v>0</v>
      </c>
      <c r="BG300" s="96">
        <f t="shared" si="117"/>
        <v>0</v>
      </c>
      <c r="BH300" s="96">
        <f t="shared" si="118"/>
        <v>0</v>
      </c>
      <c r="BI300" s="96">
        <f t="shared" si="119"/>
        <v>0</v>
      </c>
      <c r="BJ300" s="7" t="s">
        <v>94</v>
      </c>
      <c r="BK300" s="96">
        <f t="shared" si="120"/>
        <v>0</v>
      </c>
      <c r="BL300" s="7" t="s">
        <v>147</v>
      </c>
      <c r="BM300" s="95" t="s">
        <v>537</v>
      </c>
    </row>
    <row r="301" spans="2:65" s="1" customFormat="1" ht="33" customHeight="1">
      <c r="B301" s="83"/>
      <c r="C301" s="84">
        <v>147</v>
      </c>
      <c r="D301" s="84" t="s">
        <v>90</v>
      </c>
      <c r="E301" s="85" t="s">
        <v>538</v>
      </c>
      <c r="F301" s="86" t="s">
        <v>539</v>
      </c>
      <c r="G301" s="87" t="s">
        <v>160</v>
      </c>
      <c r="H301" s="88">
        <v>2</v>
      </c>
      <c r="I301" s="89"/>
      <c r="J301" s="89">
        <f t="shared" si="111"/>
        <v>0</v>
      </c>
      <c r="K301" s="90"/>
      <c r="L301" s="15"/>
      <c r="M301" s="91" t="s">
        <v>0</v>
      </c>
      <c r="N301" s="92" t="s">
        <v>23</v>
      </c>
      <c r="O301" s="93">
        <v>1.2385600000000001</v>
      </c>
      <c r="P301" s="93">
        <f t="shared" si="112"/>
        <v>2.4771200000000002</v>
      </c>
      <c r="Q301" s="93">
        <v>1.5739199999999999E-3</v>
      </c>
      <c r="R301" s="93">
        <f t="shared" si="113"/>
        <v>3.1478399999999998E-3</v>
      </c>
      <c r="S301" s="93">
        <v>0</v>
      </c>
      <c r="T301" s="94">
        <f t="shared" si="114"/>
        <v>0</v>
      </c>
      <c r="V301" s="118" t="s">
        <v>949</v>
      </c>
      <c r="AR301" s="95" t="s">
        <v>147</v>
      </c>
      <c r="AT301" s="95" t="s">
        <v>90</v>
      </c>
      <c r="AU301" s="95" t="s">
        <v>94</v>
      </c>
      <c r="AY301" s="7" t="s">
        <v>88</v>
      </c>
      <c r="BE301" s="96">
        <f t="shared" si="115"/>
        <v>0</v>
      </c>
      <c r="BF301" s="96">
        <f t="shared" si="116"/>
        <v>0</v>
      </c>
      <c r="BG301" s="96">
        <f t="shared" si="117"/>
        <v>0</v>
      </c>
      <c r="BH301" s="96">
        <f t="shared" si="118"/>
        <v>0</v>
      </c>
      <c r="BI301" s="96">
        <f t="shared" si="119"/>
        <v>0</v>
      </c>
      <c r="BJ301" s="7" t="s">
        <v>94</v>
      </c>
      <c r="BK301" s="96">
        <f t="shared" si="120"/>
        <v>0</v>
      </c>
      <c r="BL301" s="7" t="s">
        <v>147</v>
      </c>
      <c r="BM301" s="95" t="s">
        <v>540</v>
      </c>
    </row>
    <row r="302" spans="2:65" s="1" customFormat="1" ht="37.9" customHeight="1">
      <c r="B302" s="83"/>
      <c r="C302" s="84">
        <v>148</v>
      </c>
      <c r="D302" s="84" t="s">
        <v>90</v>
      </c>
      <c r="E302" s="85" t="s">
        <v>541</v>
      </c>
      <c r="F302" s="86" t="s">
        <v>542</v>
      </c>
      <c r="G302" s="87" t="s">
        <v>160</v>
      </c>
      <c r="H302" s="88">
        <v>12</v>
      </c>
      <c r="I302" s="89"/>
      <c r="J302" s="89">
        <f t="shared" si="111"/>
        <v>0</v>
      </c>
      <c r="K302" s="90"/>
      <c r="L302" s="15"/>
      <c r="M302" s="91" t="s">
        <v>0</v>
      </c>
      <c r="N302" s="92" t="s">
        <v>23</v>
      </c>
      <c r="O302" s="93">
        <v>1.46591</v>
      </c>
      <c r="P302" s="93">
        <f t="shared" si="112"/>
        <v>17.590920000000001</v>
      </c>
      <c r="Q302" s="93">
        <v>4.8223700000000003E-3</v>
      </c>
      <c r="R302" s="93">
        <f t="shared" si="113"/>
        <v>5.7868440000000007E-2</v>
      </c>
      <c r="S302" s="93">
        <v>0</v>
      </c>
      <c r="T302" s="94">
        <f t="shared" si="114"/>
        <v>0</v>
      </c>
      <c r="V302" s="118" t="s">
        <v>949</v>
      </c>
      <c r="AR302" s="95" t="s">
        <v>147</v>
      </c>
      <c r="AT302" s="95" t="s">
        <v>90</v>
      </c>
      <c r="AU302" s="95" t="s">
        <v>94</v>
      </c>
      <c r="AY302" s="7" t="s">
        <v>88</v>
      </c>
      <c r="BE302" s="96">
        <f t="shared" si="115"/>
        <v>0</v>
      </c>
      <c r="BF302" s="96">
        <f t="shared" si="116"/>
        <v>0</v>
      </c>
      <c r="BG302" s="96">
        <f t="shared" si="117"/>
        <v>0</v>
      </c>
      <c r="BH302" s="96">
        <f t="shared" si="118"/>
        <v>0</v>
      </c>
      <c r="BI302" s="96">
        <f t="shared" si="119"/>
        <v>0</v>
      </c>
      <c r="BJ302" s="7" t="s">
        <v>94</v>
      </c>
      <c r="BK302" s="96">
        <f t="shared" si="120"/>
        <v>0</v>
      </c>
      <c r="BL302" s="7" t="s">
        <v>147</v>
      </c>
      <c r="BM302" s="95" t="s">
        <v>543</v>
      </c>
    </row>
    <row r="303" spans="2:65" s="1" customFormat="1" ht="37.9" customHeight="1">
      <c r="B303" s="83"/>
      <c r="C303" s="84">
        <v>149</v>
      </c>
      <c r="D303" s="84" t="s">
        <v>90</v>
      </c>
      <c r="E303" s="85" t="s">
        <v>544</v>
      </c>
      <c r="F303" s="86" t="s">
        <v>545</v>
      </c>
      <c r="G303" s="87" t="s">
        <v>160</v>
      </c>
      <c r="H303" s="88">
        <v>16</v>
      </c>
      <c r="I303" s="89"/>
      <c r="J303" s="89">
        <f t="shared" si="111"/>
        <v>0</v>
      </c>
      <c r="K303" s="90"/>
      <c r="L303" s="15"/>
      <c r="M303" s="91" t="s">
        <v>0</v>
      </c>
      <c r="N303" s="92" t="s">
        <v>23</v>
      </c>
      <c r="O303" s="93">
        <v>0.10006</v>
      </c>
      <c r="P303" s="93">
        <f t="shared" si="112"/>
        <v>1.6009599999999999</v>
      </c>
      <c r="Q303" s="93">
        <v>1.8600000000000001E-5</v>
      </c>
      <c r="R303" s="93">
        <f t="shared" si="113"/>
        <v>2.9760000000000002E-4</v>
      </c>
      <c r="S303" s="93">
        <v>0</v>
      </c>
      <c r="T303" s="94">
        <f t="shared" si="114"/>
        <v>0</v>
      </c>
      <c r="V303" s="118" t="s">
        <v>949</v>
      </c>
      <c r="AR303" s="95" t="s">
        <v>147</v>
      </c>
      <c r="AT303" s="95" t="s">
        <v>90</v>
      </c>
      <c r="AU303" s="95" t="s">
        <v>94</v>
      </c>
      <c r="AY303" s="7" t="s">
        <v>88</v>
      </c>
      <c r="BE303" s="96">
        <f t="shared" si="115"/>
        <v>0</v>
      </c>
      <c r="BF303" s="96">
        <f t="shared" si="116"/>
        <v>0</v>
      </c>
      <c r="BG303" s="96">
        <f t="shared" si="117"/>
        <v>0</v>
      </c>
      <c r="BH303" s="96">
        <f t="shared" si="118"/>
        <v>0</v>
      </c>
      <c r="BI303" s="96">
        <f t="shared" si="119"/>
        <v>0</v>
      </c>
      <c r="BJ303" s="7" t="s">
        <v>94</v>
      </c>
      <c r="BK303" s="96">
        <f t="shared" si="120"/>
        <v>0</v>
      </c>
      <c r="BL303" s="7" t="s">
        <v>147</v>
      </c>
      <c r="BM303" s="95" t="s">
        <v>546</v>
      </c>
    </row>
    <row r="304" spans="2:65" s="1" customFormat="1" ht="24.2" customHeight="1">
      <c r="B304" s="83"/>
      <c r="C304" s="97">
        <v>150</v>
      </c>
      <c r="D304" s="97" t="s">
        <v>138</v>
      </c>
      <c r="E304" s="98" t="s">
        <v>547</v>
      </c>
      <c r="F304" s="99" t="s">
        <v>548</v>
      </c>
      <c r="G304" s="100" t="s">
        <v>160</v>
      </c>
      <c r="H304" s="101">
        <v>16</v>
      </c>
      <c r="I304" s="102"/>
      <c r="J304" s="102">
        <f t="shared" si="111"/>
        <v>0</v>
      </c>
      <c r="K304" s="103"/>
      <c r="L304" s="104"/>
      <c r="M304" s="105" t="s">
        <v>0</v>
      </c>
      <c r="N304" s="106" t="s">
        <v>23</v>
      </c>
      <c r="O304" s="93">
        <v>0</v>
      </c>
      <c r="P304" s="93">
        <f t="shared" si="112"/>
        <v>0</v>
      </c>
      <c r="Q304" s="93">
        <v>8.0000000000000007E-5</v>
      </c>
      <c r="R304" s="93">
        <f t="shared" si="113"/>
        <v>1.2800000000000001E-3</v>
      </c>
      <c r="S304" s="93">
        <v>0</v>
      </c>
      <c r="T304" s="94">
        <f t="shared" si="114"/>
        <v>0</v>
      </c>
      <c r="V304" s="118" t="s">
        <v>949</v>
      </c>
      <c r="AR304" s="95" t="s">
        <v>162</v>
      </c>
      <c r="AT304" s="95" t="s">
        <v>138</v>
      </c>
      <c r="AU304" s="95" t="s">
        <v>94</v>
      </c>
      <c r="AY304" s="7" t="s">
        <v>88</v>
      </c>
      <c r="BE304" s="96">
        <f t="shared" si="115"/>
        <v>0</v>
      </c>
      <c r="BF304" s="96">
        <f t="shared" si="116"/>
        <v>0</v>
      </c>
      <c r="BG304" s="96">
        <f t="shared" si="117"/>
        <v>0</v>
      </c>
      <c r="BH304" s="96">
        <f t="shared" si="118"/>
        <v>0</v>
      </c>
      <c r="BI304" s="96">
        <f t="shared" si="119"/>
        <v>0</v>
      </c>
      <c r="BJ304" s="7" t="s">
        <v>94</v>
      </c>
      <c r="BK304" s="96">
        <f t="shared" si="120"/>
        <v>0</v>
      </c>
      <c r="BL304" s="7" t="s">
        <v>147</v>
      </c>
      <c r="BM304" s="95" t="s">
        <v>549</v>
      </c>
    </row>
    <row r="305" spans="2:65" s="1" customFormat="1" ht="24.2" customHeight="1">
      <c r="B305" s="83"/>
      <c r="C305" s="84">
        <v>151</v>
      </c>
      <c r="D305" s="84" t="s">
        <v>90</v>
      </c>
      <c r="E305" s="85" t="s">
        <v>550</v>
      </c>
      <c r="F305" s="86" t="s">
        <v>551</v>
      </c>
      <c r="G305" s="87" t="s">
        <v>145</v>
      </c>
      <c r="H305" s="88">
        <f>11.13+30.321</f>
        <v>41.451000000000001</v>
      </c>
      <c r="I305" s="89"/>
      <c r="J305" s="89">
        <f t="shared" si="111"/>
        <v>0</v>
      </c>
      <c r="K305" s="90"/>
      <c r="L305" s="15"/>
      <c r="M305" s="91" t="s">
        <v>0</v>
      </c>
      <c r="N305" s="92" t="s">
        <v>23</v>
      </c>
      <c r="O305" s="93">
        <v>0.61240000000000006</v>
      </c>
      <c r="P305" s="93">
        <f t="shared" si="112"/>
        <v>25.384592400000002</v>
      </c>
      <c r="Q305" s="93">
        <v>2.8305600000000002E-3</v>
      </c>
      <c r="R305" s="93">
        <f t="shared" si="113"/>
        <v>0.11732954256000001</v>
      </c>
      <c r="S305" s="93">
        <v>0</v>
      </c>
      <c r="T305" s="94">
        <f t="shared" si="114"/>
        <v>0</v>
      </c>
      <c r="V305" s="118" t="s">
        <v>949</v>
      </c>
      <c r="AR305" s="95" t="s">
        <v>147</v>
      </c>
      <c r="AT305" s="95" t="s">
        <v>90</v>
      </c>
      <c r="AU305" s="95" t="s">
        <v>94</v>
      </c>
      <c r="AY305" s="7" t="s">
        <v>88</v>
      </c>
      <c r="BE305" s="96">
        <f t="shared" si="115"/>
        <v>0</v>
      </c>
      <c r="BF305" s="96">
        <f t="shared" si="116"/>
        <v>0</v>
      </c>
      <c r="BG305" s="96">
        <f t="shared" si="117"/>
        <v>0</v>
      </c>
      <c r="BH305" s="96">
        <f t="shared" si="118"/>
        <v>0</v>
      </c>
      <c r="BI305" s="96">
        <f t="shared" si="119"/>
        <v>0</v>
      </c>
      <c r="BJ305" s="7" t="s">
        <v>94</v>
      </c>
      <c r="BK305" s="96">
        <f t="shared" si="120"/>
        <v>0</v>
      </c>
      <c r="BL305" s="7" t="s">
        <v>147</v>
      </c>
      <c r="BM305" s="95" t="s">
        <v>552</v>
      </c>
    </row>
    <row r="306" spans="2:65" s="1" customFormat="1" ht="24.2" customHeight="1">
      <c r="B306" s="83"/>
      <c r="C306" s="84">
        <v>152</v>
      </c>
      <c r="D306" s="84" t="s">
        <v>90</v>
      </c>
      <c r="E306" s="85" t="s">
        <v>553</v>
      </c>
      <c r="F306" s="86" t="s">
        <v>554</v>
      </c>
      <c r="G306" s="87" t="s">
        <v>145</v>
      </c>
      <c r="H306" s="88">
        <f>8.4+7.6+30.896+10+3</f>
        <v>59.896000000000001</v>
      </c>
      <c r="I306" s="89"/>
      <c r="J306" s="89">
        <f t="shared" si="111"/>
        <v>0</v>
      </c>
      <c r="K306" s="90"/>
      <c r="L306" s="15"/>
      <c r="M306" s="91" t="s">
        <v>0</v>
      </c>
      <c r="N306" s="92" t="s">
        <v>23</v>
      </c>
      <c r="O306" s="93">
        <v>0.92459999999999998</v>
      </c>
      <c r="P306" s="93">
        <f t="shared" si="112"/>
        <v>55.379841599999999</v>
      </c>
      <c r="Q306" s="93">
        <v>4.2418999999999998E-3</v>
      </c>
      <c r="R306" s="93">
        <f t="shared" si="113"/>
        <v>0.2540728424</v>
      </c>
      <c r="S306" s="93">
        <v>0</v>
      </c>
      <c r="T306" s="94">
        <f t="shared" si="114"/>
        <v>0</v>
      </c>
      <c r="V306" s="118" t="s">
        <v>949</v>
      </c>
      <c r="AR306" s="95" t="s">
        <v>147</v>
      </c>
      <c r="AT306" s="95" t="s">
        <v>90</v>
      </c>
      <c r="AU306" s="95" t="s">
        <v>94</v>
      </c>
      <c r="AY306" s="7" t="s">
        <v>88</v>
      </c>
      <c r="BE306" s="96">
        <f t="shared" si="115"/>
        <v>0</v>
      </c>
      <c r="BF306" s="96">
        <f t="shared" si="116"/>
        <v>0</v>
      </c>
      <c r="BG306" s="96">
        <f t="shared" si="117"/>
        <v>0</v>
      </c>
      <c r="BH306" s="96">
        <f t="shared" si="118"/>
        <v>0</v>
      </c>
      <c r="BI306" s="96">
        <f t="shared" si="119"/>
        <v>0</v>
      </c>
      <c r="BJ306" s="7" t="s">
        <v>94</v>
      </c>
      <c r="BK306" s="96">
        <f t="shared" si="120"/>
        <v>0</v>
      </c>
      <c r="BL306" s="7" t="s">
        <v>147</v>
      </c>
      <c r="BM306" s="95" t="s">
        <v>555</v>
      </c>
    </row>
    <row r="307" spans="2:65" s="1" customFormat="1" ht="24.2" customHeight="1">
      <c r="B307" s="83"/>
      <c r="C307" s="84">
        <v>153</v>
      </c>
      <c r="D307" s="84" t="s">
        <v>90</v>
      </c>
      <c r="E307" s="85" t="s">
        <v>556</v>
      </c>
      <c r="F307" s="86" t="s">
        <v>557</v>
      </c>
      <c r="G307" s="87" t="s">
        <v>145</v>
      </c>
      <c r="H307" s="88">
        <f>10+1+45.524+7.6+7.6+9.4+9.4+13.5+4.5+8</f>
        <v>116.524</v>
      </c>
      <c r="I307" s="89"/>
      <c r="J307" s="89">
        <f t="shared" si="111"/>
        <v>0</v>
      </c>
      <c r="K307" s="90"/>
      <c r="L307" s="15"/>
      <c r="M307" s="91" t="s">
        <v>0</v>
      </c>
      <c r="N307" s="92" t="s">
        <v>23</v>
      </c>
      <c r="O307" s="93">
        <v>0.70574000000000003</v>
      </c>
      <c r="P307" s="93">
        <f t="shared" si="112"/>
        <v>82.235647760000006</v>
      </c>
      <c r="Q307" s="93">
        <v>3.4215199999999999E-3</v>
      </c>
      <c r="R307" s="93">
        <f t="shared" si="113"/>
        <v>0.39868919648000001</v>
      </c>
      <c r="S307" s="93">
        <v>0</v>
      </c>
      <c r="T307" s="94">
        <f t="shared" si="114"/>
        <v>0</v>
      </c>
      <c r="V307" s="118" t="s">
        <v>949</v>
      </c>
      <c r="AR307" s="95" t="s">
        <v>147</v>
      </c>
      <c r="AT307" s="95" t="s">
        <v>90</v>
      </c>
      <c r="AU307" s="95" t="s">
        <v>94</v>
      </c>
      <c r="AY307" s="7" t="s">
        <v>88</v>
      </c>
      <c r="BE307" s="96">
        <f t="shared" si="115"/>
        <v>0</v>
      </c>
      <c r="BF307" s="96">
        <f t="shared" si="116"/>
        <v>0</v>
      </c>
      <c r="BG307" s="96">
        <f t="shared" si="117"/>
        <v>0</v>
      </c>
      <c r="BH307" s="96">
        <f t="shared" si="118"/>
        <v>0</v>
      </c>
      <c r="BI307" s="96">
        <f t="shared" si="119"/>
        <v>0</v>
      </c>
      <c r="BJ307" s="7" t="s">
        <v>94</v>
      </c>
      <c r="BK307" s="96">
        <f t="shared" si="120"/>
        <v>0</v>
      </c>
      <c r="BL307" s="7" t="s">
        <v>147</v>
      </c>
      <c r="BM307" s="95" t="s">
        <v>558</v>
      </c>
    </row>
    <row r="308" spans="2:65" s="1" customFormat="1" ht="33" customHeight="1">
      <c r="B308" s="83"/>
      <c r="C308" s="84">
        <v>154</v>
      </c>
      <c r="D308" s="84" t="s">
        <v>90</v>
      </c>
      <c r="E308" s="85" t="s">
        <v>559</v>
      </c>
      <c r="F308" s="108" t="s">
        <v>862</v>
      </c>
      <c r="G308" s="87" t="s">
        <v>145</v>
      </c>
      <c r="H308" s="88">
        <f>1.5*10+1.8*5+0.6*3+1*2</f>
        <v>27.8</v>
      </c>
      <c r="I308" s="89"/>
      <c r="J308" s="89">
        <f t="shared" si="111"/>
        <v>0</v>
      </c>
      <c r="K308" s="90"/>
      <c r="L308" s="15"/>
      <c r="M308" s="91" t="s">
        <v>0</v>
      </c>
      <c r="N308" s="92" t="s">
        <v>23</v>
      </c>
      <c r="O308" s="93">
        <v>0.34186</v>
      </c>
      <c r="P308" s="93">
        <f t="shared" si="112"/>
        <v>9.5037079999999996</v>
      </c>
      <c r="Q308" s="93">
        <v>1.4837299999999999E-3</v>
      </c>
      <c r="R308" s="93">
        <f t="shared" si="113"/>
        <v>4.1247694000000001E-2</v>
      </c>
      <c r="S308" s="93">
        <v>0</v>
      </c>
      <c r="T308" s="94">
        <f t="shared" si="114"/>
        <v>0</v>
      </c>
      <c r="V308" s="120" t="s">
        <v>948</v>
      </c>
      <c r="AR308" s="95" t="s">
        <v>147</v>
      </c>
      <c r="AT308" s="95" t="s">
        <v>90</v>
      </c>
      <c r="AU308" s="95" t="s">
        <v>94</v>
      </c>
      <c r="AY308" s="7" t="s">
        <v>88</v>
      </c>
      <c r="BE308" s="96">
        <f t="shared" si="115"/>
        <v>0</v>
      </c>
      <c r="BF308" s="96">
        <f t="shared" si="116"/>
        <v>0</v>
      </c>
      <c r="BG308" s="96">
        <f t="shared" si="117"/>
        <v>0</v>
      </c>
      <c r="BH308" s="96">
        <f t="shared" si="118"/>
        <v>0</v>
      </c>
      <c r="BI308" s="96">
        <f t="shared" si="119"/>
        <v>0</v>
      </c>
      <c r="BJ308" s="7" t="s">
        <v>94</v>
      </c>
      <c r="BK308" s="96">
        <f t="shared" si="120"/>
        <v>0</v>
      </c>
      <c r="BL308" s="7" t="s">
        <v>147</v>
      </c>
      <c r="BM308" s="95" t="s">
        <v>560</v>
      </c>
    </row>
    <row r="309" spans="2:65" s="1" customFormat="1" ht="33" customHeight="1">
      <c r="B309" s="83"/>
      <c r="C309" s="84">
        <v>155</v>
      </c>
      <c r="D309" s="84" t="s">
        <v>90</v>
      </c>
      <c r="E309" s="85" t="s">
        <v>561</v>
      </c>
      <c r="F309" s="108" t="s">
        <v>863</v>
      </c>
      <c r="G309" s="87" t="s">
        <v>145</v>
      </c>
      <c r="H309" s="88">
        <f>1.5*3+1.6*6+1.4*4+0.6*3+1.2*3</f>
        <v>25.1</v>
      </c>
      <c r="I309" s="89"/>
      <c r="J309" s="89">
        <f t="shared" si="111"/>
        <v>0</v>
      </c>
      <c r="K309" s="90"/>
      <c r="L309" s="15"/>
      <c r="M309" s="91" t="s">
        <v>0</v>
      </c>
      <c r="N309" s="92" t="s">
        <v>23</v>
      </c>
      <c r="O309" s="93">
        <v>0.46257999999999999</v>
      </c>
      <c r="P309" s="93">
        <f t="shared" si="112"/>
        <v>11.610758000000001</v>
      </c>
      <c r="Q309" s="93">
        <v>2.2472600000000001E-3</v>
      </c>
      <c r="R309" s="93">
        <f t="shared" si="113"/>
        <v>5.6406226000000004E-2</v>
      </c>
      <c r="S309" s="93">
        <v>0</v>
      </c>
      <c r="T309" s="94">
        <f t="shared" si="114"/>
        <v>0</v>
      </c>
      <c r="V309" s="120" t="s">
        <v>948</v>
      </c>
      <c r="AR309" s="95" t="s">
        <v>147</v>
      </c>
      <c r="AT309" s="95" t="s">
        <v>90</v>
      </c>
      <c r="AU309" s="95" t="s">
        <v>94</v>
      </c>
      <c r="AY309" s="7" t="s">
        <v>88</v>
      </c>
      <c r="BE309" s="96">
        <f t="shared" si="115"/>
        <v>0</v>
      </c>
      <c r="BF309" s="96">
        <f t="shared" si="116"/>
        <v>0</v>
      </c>
      <c r="BG309" s="96">
        <f t="shared" si="117"/>
        <v>0</v>
      </c>
      <c r="BH309" s="96">
        <f t="shared" si="118"/>
        <v>0</v>
      </c>
      <c r="BI309" s="96">
        <f t="shared" si="119"/>
        <v>0</v>
      </c>
      <c r="BJ309" s="7" t="s">
        <v>94</v>
      </c>
      <c r="BK309" s="96">
        <f t="shared" si="120"/>
        <v>0</v>
      </c>
      <c r="BL309" s="7" t="s">
        <v>147</v>
      </c>
      <c r="BM309" s="95" t="s">
        <v>562</v>
      </c>
    </row>
    <row r="310" spans="2:65" s="1" customFormat="1" ht="24.2" customHeight="1">
      <c r="B310" s="83"/>
      <c r="C310" s="84">
        <v>156</v>
      </c>
      <c r="D310" s="84" t="s">
        <v>90</v>
      </c>
      <c r="E310" s="85" t="s">
        <v>563</v>
      </c>
      <c r="F310" s="86" t="s">
        <v>564</v>
      </c>
      <c r="G310" s="87" t="s">
        <v>145</v>
      </c>
      <c r="H310" s="88">
        <f>H308+H309</f>
        <v>52.900000000000006</v>
      </c>
      <c r="I310" s="89"/>
      <c r="J310" s="89">
        <f t="shared" si="111"/>
        <v>0</v>
      </c>
      <c r="K310" s="90"/>
      <c r="L310" s="15"/>
      <c r="M310" s="91" t="s">
        <v>0</v>
      </c>
      <c r="N310" s="92" t="s">
        <v>23</v>
      </c>
      <c r="O310" s="93">
        <v>7.4999999999999997E-2</v>
      </c>
      <c r="P310" s="93">
        <f t="shared" si="112"/>
        <v>3.9675000000000002</v>
      </c>
      <c r="Q310" s="93">
        <v>0</v>
      </c>
      <c r="R310" s="93">
        <f t="shared" si="113"/>
        <v>0</v>
      </c>
      <c r="S310" s="93">
        <v>1.3500000000000001E-3</v>
      </c>
      <c r="T310" s="94">
        <f t="shared" si="114"/>
        <v>7.1415000000000006E-2</v>
      </c>
      <c r="V310" s="120" t="s">
        <v>948</v>
      </c>
      <c r="AR310" s="95" t="s">
        <v>147</v>
      </c>
      <c r="AT310" s="95" t="s">
        <v>90</v>
      </c>
      <c r="AU310" s="95" t="s">
        <v>94</v>
      </c>
      <c r="AY310" s="7" t="s">
        <v>88</v>
      </c>
      <c r="BE310" s="96">
        <f t="shared" si="115"/>
        <v>0</v>
      </c>
      <c r="BF310" s="96">
        <f t="shared" si="116"/>
        <v>0</v>
      </c>
      <c r="BG310" s="96">
        <f t="shared" si="117"/>
        <v>0</v>
      </c>
      <c r="BH310" s="96">
        <f t="shared" si="118"/>
        <v>0</v>
      </c>
      <c r="BI310" s="96">
        <f t="shared" si="119"/>
        <v>0</v>
      </c>
      <c r="BJ310" s="7" t="s">
        <v>94</v>
      </c>
      <c r="BK310" s="96">
        <f t="shared" si="120"/>
        <v>0</v>
      </c>
      <c r="BL310" s="7" t="s">
        <v>147</v>
      </c>
      <c r="BM310" s="95" t="s">
        <v>565</v>
      </c>
    </row>
    <row r="311" spans="2:65" s="1" customFormat="1" ht="24.2" customHeight="1">
      <c r="B311" s="83"/>
      <c r="C311" s="84">
        <v>157</v>
      </c>
      <c r="D311" s="84" t="s">
        <v>90</v>
      </c>
      <c r="E311" s="85" t="s">
        <v>566</v>
      </c>
      <c r="F311" s="86" t="s">
        <v>567</v>
      </c>
      <c r="G311" s="87" t="s">
        <v>145</v>
      </c>
      <c r="H311" s="88">
        <v>64.62</v>
      </c>
      <c r="I311" s="89"/>
      <c r="J311" s="89">
        <f t="shared" si="111"/>
        <v>0</v>
      </c>
      <c r="K311" s="90"/>
      <c r="L311" s="15"/>
      <c r="M311" s="91" t="s">
        <v>0</v>
      </c>
      <c r="N311" s="92" t="s">
        <v>23</v>
      </c>
      <c r="O311" s="93">
        <v>5.6000000000000001E-2</v>
      </c>
      <c r="P311" s="93">
        <f t="shared" si="112"/>
        <v>3.6187200000000002</v>
      </c>
      <c r="Q311" s="93">
        <v>0</v>
      </c>
      <c r="R311" s="93">
        <f t="shared" si="113"/>
        <v>0</v>
      </c>
      <c r="S311" s="93">
        <v>9.0000000000000006E-5</v>
      </c>
      <c r="T311" s="94">
        <f t="shared" si="114"/>
        <v>5.8158000000000012E-3</v>
      </c>
      <c r="V311" s="120" t="s">
        <v>948</v>
      </c>
      <c r="AR311" s="95" t="s">
        <v>147</v>
      </c>
      <c r="AT311" s="95" t="s">
        <v>90</v>
      </c>
      <c r="AU311" s="95" t="s">
        <v>94</v>
      </c>
      <c r="AY311" s="7" t="s">
        <v>88</v>
      </c>
      <c r="BE311" s="96">
        <f t="shared" si="115"/>
        <v>0</v>
      </c>
      <c r="BF311" s="96">
        <f t="shared" si="116"/>
        <v>0</v>
      </c>
      <c r="BG311" s="96">
        <f t="shared" si="117"/>
        <v>0</v>
      </c>
      <c r="BH311" s="96">
        <f t="shared" si="118"/>
        <v>0</v>
      </c>
      <c r="BI311" s="96">
        <f t="shared" si="119"/>
        <v>0</v>
      </c>
      <c r="BJ311" s="7" t="s">
        <v>94</v>
      </c>
      <c r="BK311" s="96">
        <f t="shared" si="120"/>
        <v>0</v>
      </c>
      <c r="BL311" s="7" t="s">
        <v>147</v>
      </c>
      <c r="BM311" s="95" t="s">
        <v>568</v>
      </c>
    </row>
    <row r="312" spans="2:65" s="1" customFormat="1" ht="24.2" customHeight="1">
      <c r="B312" s="83"/>
      <c r="C312" s="84">
        <v>158</v>
      </c>
      <c r="D312" s="84" t="s">
        <v>90</v>
      </c>
      <c r="E312" s="85" t="s">
        <v>569</v>
      </c>
      <c r="F312" s="86" t="s">
        <v>570</v>
      </c>
      <c r="G312" s="87" t="s">
        <v>145</v>
      </c>
      <c r="H312" s="88">
        <v>55.91</v>
      </c>
      <c r="I312" s="89"/>
      <c r="J312" s="89">
        <f t="shared" si="111"/>
        <v>0</v>
      </c>
      <c r="K312" s="90"/>
      <c r="L312" s="15"/>
      <c r="M312" s="91" t="s">
        <v>0</v>
      </c>
      <c r="N312" s="92" t="s">
        <v>23</v>
      </c>
      <c r="O312" s="93">
        <v>6.6000000000000003E-2</v>
      </c>
      <c r="P312" s="93">
        <f t="shared" si="112"/>
        <v>3.6900599999999999</v>
      </c>
      <c r="Q312" s="93">
        <v>0</v>
      </c>
      <c r="R312" s="93">
        <f t="shared" si="113"/>
        <v>0</v>
      </c>
      <c r="S312" s="93">
        <v>1.75E-3</v>
      </c>
      <c r="T312" s="94">
        <f t="shared" si="114"/>
        <v>9.7842499999999999E-2</v>
      </c>
      <c r="V312" s="120" t="s">
        <v>948</v>
      </c>
      <c r="AR312" s="95" t="s">
        <v>147</v>
      </c>
      <c r="AT312" s="95" t="s">
        <v>90</v>
      </c>
      <c r="AU312" s="95" t="s">
        <v>94</v>
      </c>
      <c r="AY312" s="7" t="s">
        <v>88</v>
      </c>
      <c r="BE312" s="96">
        <f t="shared" si="115"/>
        <v>0</v>
      </c>
      <c r="BF312" s="96">
        <f t="shared" si="116"/>
        <v>0</v>
      </c>
      <c r="BG312" s="96">
        <f t="shared" si="117"/>
        <v>0</v>
      </c>
      <c r="BH312" s="96">
        <f t="shared" si="118"/>
        <v>0</v>
      </c>
      <c r="BI312" s="96">
        <f t="shared" si="119"/>
        <v>0</v>
      </c>
      <c r="BJ312" s="7" t="s">
        <v>94</v>
      </c>
      <c r="BK312" s="96">
        <f t="shared" si="120"/>
        <v>0</v>
      </c>
      <c r="BL312" s="7" t="s">
        <v>147</v>
      </c>
      <c r="BM312" s="95" t="s">
        <v>571</v>
      </c>
    </row>
    <row r="313" spans="2:65" s="1" customFormat="1" ht="24.2" customHeight="1">
      <c r="B313" s="83"/>
      <c r="C313" s="84">
        <v>159</v>
      </c>
      <c r="D313" s="84" t="s">
        <v>90</v>
      </c>
      <c r="E313" s="85" t="s">
        <v>572</v>
      </c>
      <c r="F313" s="86" t="s">
        <v>573</v>
      </c>
      <c r="G313" s="87" t="s">
        <v>145</v>
      </c>
      <c r="H313" s="88">
        <v>4.5</v>
      </c>
      <c r="I313" s="89"/>
      <c r="J313" s="89">
        <f t="shared" si="111"/>
        <v>0</v>
      </c>
      <c r="K313" s="90"/>
      <c r="L313" s="15"/>
      <c r="M313" s="91" t="s">
        <v>0</v>
      </c>
      <c r="N313" s="92" t="s">
        <v>23</v>
      </c>
      <c r="O313" s="93">
        <v>0.89592000000000005</v>
      </c>
      <c r="P313" s="93">
        <f t="shared" si="112"/>
        <v>4.0316400000000003</v>
      </c>
      <c r="Q313" s="93">
        <v>4.2982000000000003E-3</v>
      </c>
      <c r="R313" s="93">
        <f t="shared" si="113"/>
        <v>1.9341900000000002E-2</v>
      </c>
      <c r="S313" s="93">
        <v>0</v>
      </c>
      <c r="T313" s="94">
        <f t="shared" si="114"/>
        <v>0</v>
      </c>
      <c r="V313" s="120" t="s">
        <v>948</v>
      </c>
      <c r="AR313" s="95" t="s">
        <v>147</v>
      </c>
      <c r="AT313" s="95" t="s">
        <v>90</v>
      </c>
      <c r="AU313" s="95" t="s">
        <v>94</v>
      </c>
      <c r="AY313" s="7" t="s">
        <v>88</v>
      </c>
      <c r="BE313" s="96">
        <f t="shared" si="115"/>
        <v>0</v>
      </c>
      <c r="BF313" s="96">
        <f t="shared" si="116"/>
        <v>0</v>
      </c>
      <c r="BG313" s="96">
        <f t="shared" si="117"/>
        <v>0</v>
      </c>
      <c r="BH313" s="96">
        <f t="shared" si="118"/>
        <v>0</v>
      </c>
      <c r="BI313" s="96">
        <f t="shared" si="119"/>
        <v>0</v>
      </c>
      <c r="BJ313" s="7" t="s">
        <v>94</v>
      </c>
      <c r="BK313" s="96">
        <f t="shared" si="120"/>
        <v>0</v>
      </c>
      <c r="BL313" s="7" t="s">
        <v>147</v>
      </c>
      <c r="BM313" s="95" t="s">
        <v>574</v>
      </c>
    </row>
    <row r="314" spans="2:65" s="1" customFormat="1" ht="33" customHeight="1">
      <c r="B314" s="83"/>
      <c r="C314" s="84">
        <v>160</v>
      </c>
      <c r="D314" s="84" t="s">
        <v>90</v>
      </c>
      <c r="E314" s="85" t="s">
        <v>575</v>
      </c>
      <c r="F314" s="86" t="s">
        <v>576</v>
      </c>
      <c r="G314" s="87" t="s">
        <v>160</v>
      </c>
      <c r="H314" s="88">
        <v>4</v>
      </c>
      <c r="I314" s="89"/>
      <c r="J314" s="89">
        <f t="shared" si="111"/>
        <v>0</v>
      </c>
      <c r="K314" s="90"/>
      <c r="L314" s="15"/>
      <c r="M314" s="91" t="s">
        <v>0</v>
      </c>
      <c r="N314" s="92" t="s">
        <v>23</v>
      </c>
      <c r="O314" s="93">
        <v>0.16195999999999999</v>
      </c>
      <c r="P314" s="93">
        <f t="shared" si="112"/>
        <v>0.64783999999999997</v>
      </c>
      <c r="Q314" s="93">
        <v>8.9439999999999997E-5</v>
      </c>
      <c r="R314" s="93">
        <f t="shared" si="113"/>
        <v>3.5775999999999999E-4</v>
      </c>
      <c r="S314" s="93">
        <v>0</v>
      </c>
      <c r="T314" s="94">
        <f t="shared" si="114"/>
        <v>0</v>
      </c>
      <c r="V314" s="120" t="s">
        <v>948</v>
      </c>
      <c r="AR314" s="95" t="s">
        <v>147</v>
      </c>
      <c r="AT314" s="95" t="s">
        <v>90</v>
      </c>
      <c r="AU314" s="95" t="s">
        <v>94</v>
      </c>
      <c r="AY314" s="7" t="s">
        <v>88</v>
      </c>
      <c r="BE314" s="96">
        <f t="shared" si="115"/>
        <v>0</v>
      </c>
      <c r="BF314" s="96">
        <f t="shared" si="116"/>
        <v>0</v>
      </c>
      <c r="BG314" s="96">
        <f t="shared" si="117"/>
        <v>0</v>
      </c>
      <c r="BH314" s="96">
        <f t="shared" si="118"/>
        <v>0</v>
      </c>
      <c r="BI314" s="96">
        <f t="shared" si="119"/>
        <v>0</v>
      </c>
      <c r="BJ314" s="7" t="s">
        <v>94</v>
      </c>
      <c r="BK314" s="96">
        <f t="shared" si="120"/>
        <v>0</v>
      </c>
      <c r="BL314" s="7" t="s">
        <v>147</v>
      </c>
      <c r="BM314" s="95" t="s">
        <v>577</v>
      </c>
    </row>
    <row r="315" spans="2:65" s="1" customFormat="1" ht="27.95" customHeight="1">
      <c r="B315" s="83"/>
      <c r="C315" s="97">
        <v>161</v>
      </c>
      <c r="D315" s="97" t="s">
        <v>138</v>
      </c>
      <c r="E315" s="98" t="s">
        <v>578</v>
      </c>
      <c r="F315" s="99" t="s">
        <v>579</v>
      </c>
      <c r="G315" s="100" t="s">
        <v>160</v>
      </c>
      <c r="H315" s="101">
        <v>4</v>
      </c>
      <c r="I315" s="102"/>
      <c r="J315" s="102">
        <f t="shared" si="111"/>
        <v>0</v>
      </c>
      <c r="K315" s="103"/>
      <c r="L315" s="104"/>
      <c r="M315" s="105" t="s">
        <v>0</v>
      </c>
      <c r="N315" s="106" t="s">
        <v>23</v>
      </c>
      <c r="O315" s="93">
        <v>0</v>
      </c>
      <c r="P315" s="93">
        <f t="shared" si="112"/>
        <v>0</v>
      </c>
      <c r="Q315" s="93">
        <v>7.1000000000000002E-4</v>
      </c>
      <c r="R315" s="93">
        <f t="shared" si="113"/>
        <v>2.8400000000000001E-3</v>
      </c>
      <c r="S315" s="93">
        <v>0</v>
      </c>
      <c r="T315" s="94">
        <f t="shared" si="114"/>
        <v>0</v>
      </c>
      <c r="V315" s="120" t="s">
        <v>948</v>
      </c>
      <c r="AR315" s="95" t="s">
        <v>162</v>
      </c>
      <c r="AT315" s="95" t="s">
        <v>138</v>
      </c>
      <c r="AU315" s="95" t="s">
        <v>94</v>
      </c>
      <c r="AY315" s="7" t="s">
        <v>88</v>
      </c>
      <c r="BE315" s="96">
        <f t="shared" si="115"/>
        <v>0</v>
      </c>
      <c r="BF315" s="96">
        <f t="shared" si="116"/>
        <v>0</v>
      </c>
      <c r="BG315" s="96">
        <f t="shared" si="117"/>
        <v>0</v>
      </c>
      <c r="BH315" s="96">
        <f t="shared" si="118"/>
        <v>0</v>
      </c>
      <c r="BI315" s="96">
        <f t="shared" si="119"/>
        <v>0</v>
      </c>
      <c r="BJ315" s="7" t="s">
        <v>94</v>
      </c>
      <c r="BK315" s="96">
        <f t="shared" si="120"/>
        <v>0</v>
      </c>
      <c r="BL315" s="7" t="s">
        <v>147</v>
      </c>
      <c r="BM315" s="95" t="s">
        <v>580</v>
      </c>
    </row>
    <row r="316" spans="2:65" s="1" customFormat="1" ht="33" customHeight="1">
      <c r="B316" s="83"/>
      <c r="C316" s="84">
        <v>162</v>
      </c>
      <c r="D316" s="84" t="s">
        <v>90</v>
      </c>
      <c r="E316" s="85" t="s">
        <v>581</v>
      </c>
      <c r="F316" s="86" t="s">
        <v>582</v>
      </c>
      <c r="G316" s="87" t="s">
        <v>160</v>
      </c>
      <c r="H316" s="88">
        <v>34</v>
      </c>
      <c r="I316" s="89"/>
      <c r="J316" s="89">
        <f t="shared" si="111"/>
        <v>0</v>
      </c>
      <c r="K316" s="90"/>
      <c r="L316" s="15"/>
      <c r="M316" s="91" t="s">
        <v>0</v>
      </c>
      <c r="N316" s="92" t="s">
        <v>23</v>
      </c>
      <c r="O316" s="93">
        <v>0.22325999999999999</v>
      </c>
      <c r="P316" s="93">
        <f t="shared" si="112"/>
        <v>7.5908399999999991</v>
      </c>
      <c r="Q316" s="93">
        <v>8.9439999999999997E-5</v>
      </c>
      <c r="R316" s="93">
        <f t="shared" si="113"/>
        <v>3.0409600000000001E-3</v>
      </c>
      <c r="S316" s="93">
        <v>0</v>
      </c>
      <c r="T316" s="94">
        <f t="shared" si="114"/>
        <v>0</v>
      </c>
      <c r="V316" s="120" t="s">
        <v>948</v>
      </c>
      <c r="AR316" s="95" t="s">
        <v>147</v>
      </c>
      <c r="AT316" s="95" t="s">
        <v>90</v>
      </c>
      <c r="AU316" s="95" t="s">
        <v>94</v>
      </c>
      <c r="AY316" s="7" t="s">
        <v>88</v>
      </c>
      <c r="BE316" s="96">
        <f t="shared" si="115"/>
        <v>0</v>
      </c>
      <c r="BF316" s="96">
        <f t="shared" si="116"/>
        <v>0</v>
      </c>
      <c r="BG316" s="96">
        <f t="shared" si="117"/>
        <v>0</v>
      </c>
      <c r="BH316" s="96">
        <f t="shared" si="118"/>
        <v>0</v>
      </c>
      <c r="BI316" s="96">
        <f t="shared" si="119"/>
        <v>0</v>
      </c>
      <c r="BJ316" s="7" t="s">
        <v>94</v>
      </c>
      <c r="BK316" s="96">
        <f t="shared" si="120"/>
        <v>0</v>
      </c>
      <c r="BL316" s="7" t="s">
        <v>147</v>
      </c>
      <c r="BM316" s="95" t="s">
        <v>583</v>
      </c>
    </row>
    <row r="317" spans="2:65" s="1" customFormat="1" ht="21.75" customHeight="1">
      <c r="B317" s="83"/>
      <c r="C317" s="97">
        <v>163</v>
      </c>
      <c r="D317" s="97" t="s">
        <v>138</v>
      </c>
      <c r="E317" s="98" t="s">
        <v>584</v>
      </c>
      <c r="F317" s="99" t="s">
        <v>585</v>
      </c>
      <c r="G317" s="100" t="s">
        <v>160</v>
      </c>
      <c r="H317" s="101">
        <v>34</v>
      </c>
      <c r="I317" s="102"/>
      <c r="J317" s="102">
        <f t="shared" si="111"/>
        <v>0</v>
      </c>
      <c r="K317" s="103"/>
      <c r="L317" s="104"/>
      <c r="M317" s="105" t="s">
        <v>0</v>
      </c>
      <c r="N317" s="106" t="s">
        <v>23</v>
      </c>
      <c r="O317" s="93">
        <v>0</v>
      </c>
      <c r="P317" s="93">
        <f t="shared" si="112"/>
        <v>0</v>
      </c>
      <c r="Q317" s="93">
        <v>2.5000000000000001E-4</v>
      </c>
      <c r="R317" s="93">
        <f t="shared" si="113"/>
        <v>8.5000000000000006E-3</v>
      </c>
      <c r="S317" s="93">
        <v>0</v>
      </c>
      <c r="T317" s="94">
        <f t="shared" si="114"/>
        <v>0</v>
      </c>
      <c r="V317" s="120" t="s">
        <v>948</v>
      </c>
      <c r="AR317" s="95" t="s">
        <v>162</v>
      </c>
      <c r="AT317" s="95" t="s">
        <v>138</v>
      </c>
      <c r="AU317" s="95" t="s">
        <v>94</v>
      </c>
      <c r="AY317" s="7" t="s">
        <v>88</v>
      </c>
      <c r="BE317" s="96">
        <f t="shared" si="115"/>
        <v>0</v>
      </c>
      <c r="BF317" s="96">
        <f t="shared" si="116"/>
        <v>0</v>
      </c>
      <c r="BG317" s="96">
        <f t="shared" si="117"/>
        <v>0</v>
      </c>
      <c r="BH317" s="96">
        <f t="shared" si="118"/>
        <v>0</v>
      </c>
      <c r="BI317" s="96">
        <f t="shared" si="119"/>
        <v>0</v>
      </c>
      <c r="BJ317" s="7" t="s">
        <v>94</v>
      </c>
      <c r="BK317" s="96">
        <f t="shared" si="120"/>
        <v>0</v>
      </c>
      <c r="BL317" s="7" t="s">
        <v>147</v>
      </c>
      <c r="BM317" s="95" t="s">
        <v>586</v>
      </c>
    </row>
    <row r="318" spans="2:65" s="1" customFormat="1" ht="24.2" customHeight="1">
      <c r="B318" s="83"/>
      <c r="C318" s="84">
        <v>164</v>
      </c>
      <c r="D318" s="84" t="s">
        <v>90</v>
      </c>
      <c r="E318" s="85" t="s">
        <v>587</v>
      </c>
      <c r="F318" s="86" t="s">
        <v>588</v>
      </c>
      <c r="G318" s="87" t="s">
        <v>145</v>
      </c>
      <c r="H318" s="88">
        <v>17</v>
      </c>
      <c r="I318" s="89"/>
      <c r="J318" s="89">
        <f t="shared" si="111"/>
        <v>0</v>
      </c>
      <c r="K318" s="90"/>
      <c r="L318" s="15"/>
      <c r="M318" s="91" t="s">
        <v>0</v>
      </c>
      <c r="N318" s="92" t="s">
        <v>23</v>
      </c>
      <c r="O318" s="93">
        <v>0.65771999999999997</v>
      </c>
      <c r="P318" s="93">
        <f t="shared" si="112"/>
        <v>11.181239999999999</v>
      </c>
      <c r="Q318" s="93">
        <v>1.2444000000000001E-3</v>
      </c>
      <c r="R318" s="93">
        <f t="shared" si="113"/>
        <v>2.1154800000000001E-2</v>
      </c>
      <c r="S318" s="93">
        <v>0</v>
      </c>
      <c r="T318" s="94">
        <f t="shared" si="114"/>
        <v>0</v>
      </c>
      <c r="V318" s="120" t="s">
        <v>948</v>
      </c>
      <c r="AR318" s="95" t="s">
        <v>147</v>
      </c>
      <c r="AT318" s="95" t="s">
        <v>90</v>
      </c>
      <c r="AU318" s="95" t="s">
        <v>94</v>
      </c>
      <c r="AY318" s="7" t="s">
        <v>88</v>
      </c>
      <c r="BE318" s="96">
        <f t="shared" si="115"/>
        <v>0</v>
      </c>
      <c r="BF318" s="96">
        <f t="shared" si="116"/>
        <v>0</v>
      </c>
      <c r="BG318" s="96">
        <f t="shared" si="117"/>
        <v>0</v>
      </c>
      <c r="BH318" s="96">
        <f t="shared" si="118"/>
        <v>0</v>
      </c>
      <c r="BI318" s="96">
        <f t="shared" si="119"/>
        <v>0</v>
      </c>
      <c r="BJ318" s="7" t="s">
        <v>94</v>
      </c>
      <c r="BK318" s="96">
        <f t="shared" si="120"/>
        <v>0</v>
      </c>
      <c r="BL318" s="7" t="s">
        <v>147</v>
      </c>
      <c r="BM318" s="95" t="s">
        <v>589</v>
      </c>
    </row>
    <row r="319" spans="2:65" s="1" customFormat="1" ht="24.2" customHeight="1">
      <c r="B319" s="83"/>
      <c r="C319" s="84">
        <v>165</v>
      </c>
      <c r="D319" s="84" t="s">
        <v>90</v>
      </c>
      <c r="E319" s="85" t="s">
        <v>590</v>
      </c>
      <c r="F319" s="86" t="s">
        <v>591</v>
      </c>
      <c r="G319" s="87" t="s">
        <v>145</v>
      </c>
      <c r="H319" s="88">
        <v>39</v>
      </c>
      <c r="I319" s="89"/>
      <c r="J319" s="89">
        <f t="shared" si="111"/>
        <v>0</v>
      </c>
      <c r="K319" s="90"/>
      <c r="L319" s="15"/>
      <c r="M319" s="91" t="s">
        <v>0</v>
      </c>
      <c r="N319" s="92" t="s">
        <v>23</v>
      </c>
      <c r="O319" s="93">
        <v>0.65958000000000006</v>
      </c>
      <c r="P319" s="93">
        <f t="shared" si="112"/>
        <v>25.723620000000004</v>
      </c>
      <c r="Q319" s="93">
        <v>2.0698000000000001E-3</v>
      </c>
      <c r="R319" s="93">
        <f t="shared" si="113"/>
        <v>8.0722200000000008E-2</v>
      </c>
      <c r="S319" s="93">
        <v>0</v>
      </c>
      <c r="T319" s="94">
        <f t="shared" si="114"/>
        <v>0</v>
      </c>
      <c r="V319" s="120" t="s">
        <v>948</v>
      </c>
      <c r="AR319" s="95" t="s">
        <v>147</v>
      </c>
      <c r="AT319" s="95" t="s">
        <v>90</v>
      </c>
      <c r="AU319" s="95" t="s">
        <v>94</v>
      </c>
      <c r="AY319" s="7" t="s">
        <v>88</v>
      </c>
      <c r="BE319" s="96">
        <f t="shared" si="115"/>
        <v>0</v>
      </c>
      <c r="BF319" s="96">
        <f t="shared" si="116"/>
        <v>0</v>
      </c>
      <c r="BG319" s="96">
        <f t="shared" si="117"/>
        <v>0</v>
      </c>
      <c r="BH319" s="96">
        <f t="shared" si="118"/>
        <v>0</v>
      </c>
      <c r="BI319" s="96">
        <f t="shared" si="119"/>
        <v>0</v>
      </c>
      <c r="BJ319" s="7" t="s">
        <v>94</v>
      </c>
      <c r="BK319" s="96">
        <f t="shared" si="120"/>
        <v>0</v>
      </c>
      <c r="BL319" s="7" t="s">
        <v>147</v>
      </c>
      <c r="BM319" s="95" t="s">
        <v>592</v>
      </c>
    </row>
    <row r="320" spans="2:65" s="1" customFormat="1" ht="24.2" customHeight="1">
      <c r="B320" s="83"/>
      <c r="C320" s="84">
        <v>166</v>
      </c>
      <c r="D320" s="84" t="s">
        <v>90</v>
      </c>
      <c r="E320" s="85" t="s">
        <v>593</v>
      </c>
      <c r="F320" s="86" t="s">
        <v>594</v>
      </c>
      <c r="G320" s="87" t="s">
        <v>145</v>
      </c>
      <c r="H320" s="88">
        <v>104</v>
      </c>
      <c r="I320" s="89"/>
      <c r="J320" s="89">
        <f t="shared" si="111"/>
        <v>0</v>
      </c>
      <c r="K320" s="90"/>
      <c r="L320" s="15"/>
      <c r="M320" s="91" t="s">
        <v>0</v>
      </c>
      <c r="N320" s="92" t="s">
        <v>23</v>
      </c>
      <c r="O320" s="93">
        <v>0.66124000000000005</v>
      </c>
      <c r="P320" s="93">
        <f t="shared" si="112"/>
        <v>68.768960000000007</v>
      </c>
      <c r="Q320" s="93">
        <v>2.8005E-3</v>
      </c>
      <c r="R320" s="93">
        <f t="shared" si="113"/>
        <v>0.29125200000000001</v>
      </c>
      <c r="S320" s="93">
        <v>0</v>
      </c>
      <c r="T320" s="94">
        <f t="shared" si="114"/>
        <v>0</v>
      </c>
      <c r="V320" s="120" t="s">
        <v>948</v>
      </c>
      <c r="AR320" s="95" t="s">
        <v>147</v>
      </c>
      <c r="AT320" s="95" t="s">
        <v>90</v>
      </c>
      <c r="AU320" s="95" t="s">
        <v>94</v>
      </c>
      <c r="AY320" s="7" t="s">
        <v>88</v>
      </c>
      <c r="BE320" s="96">
        <f t="shared" si="115"/>
        <v>0</v>
      </c>
      <c r="BF320" s="96">
        <f t="shared" si="116"/>
        <v>0</v>
      </c>
      <c r="BG320" s="96">
        <f t="shared" si="117"/>
        <v>0</v>
      </c>
      <c r="BH320" s="96">
        <f t="shared" si="118"/>
        <v>0</v>
      </c>
      <c r="BI320" s="96">
        <f t="shared" si="119"/>
        <v>0</v>
      </c>
      <c r="BJ320" s="7" t="s">
        <v>94</v>
      </c>
      <c r="BK320" s="96">
        <f t="shared" si="120"/>
        <v>0</v>
      </c>
      <c r="BL320" s="7" t="s">
        <v>147</v>
      </c>
      <c r="BM320" s="95" t="s">
        <v>595</v>
      </c>
    </row>
    <row r="321" spans="2:65" s="1" customFormat="1" ht="24.2" customHeight="1">
      <c r="B321" s="83"/>
      <c r="C321" s="84">
        <v>167</v>
      </c>
      <c r="D321" s="84" t="s">
        <v>90</v>
      </c>
      <c r="E321" s="85" t="s">
        <v>596</v>
      </c>
      <c r="F321" s="86" t="s">
        <v>597</v>
      </c>
      <c r="G321" s="87" t="s">
        <v>145</v>
      </c>
      <c r="H321" s="88">
        <v>163.99</v>
      </c>
      <c r="I321" s="89"/>
      <c r="J321" s="89">
        <f t="shared" si="111"/>
        <v>0</v>
      </c>
      <c r="K321" s="90"/>
      <c r="L321" s="15"/>
      <c r="M321" s="91" t="s">
        <v>0</v>
      </c>
      <c r="N321" s="92" t="s">
        <v>23</v>
      </c>
      <c r="O321" s="93">
        <v>5.6000000000000001E-2</v>
      </c>
      <c r="P321" s="93">
        <f t="shared" si="112"/>
        <v>9.1834400000000009</v>
      </c>
      <c r="Q321" s="93">
        <v>0</v>
      </c>
      <c r="R321" s="93">
        <f t="shared" si="113"/>
        <v>0</v>
      </c>
      <c r="S321" s="93">
        <v>2.8500000000000001E-3</v>
      </c>
      <c r="T321" s="94">
        <f t="shared" si="114"/>
        <v>0.46737150000000005</v>
      </c>
      <c r="V321" s="120" t="s">
        <v>948</v>
      </c>
      <c r="AR321" s="95" t="s">
        <v>147</v>
      </c>
      <c r="AT321" s="95" t="s">
        <v>90</v>
      </c>
      <c r="AU321" s="95" t="s">
        <v>94</v>
      </c>
      <c r="AY321" s="7" t="s">
        <v>88</v>
      </c>
      <c r="BE321" s="96">
        <f t="shared" si="115"/>
        <v>0</v>
      </c>
      <c r="BF321" s="96">
        <f t="shared" si="116"/>
        <v>0</v>
      </c>
      <c r="BG321" s="96">
        <f t="shared" si="117"/>
        <v>0</v>
      </c>
      <c r="BH321" s="96">
        <f t="shared" si="118"/>
        <v>0</v>
      </c>
      <c r="BI321" s="96">
        <f t="shared" si="119"/>
        <v>0</v>
      </c>
      <c r="BJ321" s="7" t="s">
        <v>94</v>
      </c>
      <c r="BK321" s="96">
        <f t="shared" si="120"/>
        <v>0</v>
      </c>
      <c r="BL321" s="7" t="s">
        <v>147</v>
      </c>
      <c r="BM321" s="95" t="s">
        <v>598</v>
      </c>
    </row>
    <row r="322" spans="2:65" s="1" customFormat="1" ht="33" customHeight="1">
      <c r="B322" s="83"/>
      <c r="C322" s="84">
        <v>168</v>
      </c>
      <c r="D322" s="84" t="s">
        <v>90</v>
      </c>
      <c r="E322" s="85" t="s">
        <v>599</v>
      </c>
      <c r="F322" s="86" t="s">
        <v>600</v>
      </c>
      <c r="G322" s="87" t="s">
        <v>160</v>
      </c>
      <c r="H322" s="88">
        <v>24</v>
      </c>
      <c r="I322" s="89"/>
      <c r="J322" s="89">
        <f t="shared" si="111"/>
        <v>0</v>
      </c>
      <c r="K322" s="90"/>
      <c r="L322" s="15"/>
      <c r="M322" s="91" t="s">
        <v>0</v>
      </c>
      <c r="N322" s="92" t="s">
        <v>23</v>
      </c>
      <c r="O322" s="93">
        <v>7.4999999999999997E-2</v>
      </c>
      <c r="P322" s="93">
        <f t="shared" si="112"/>
        <v>1.7999999999999998</v>
      </c>
      <c r="Q322" s="93">
        <v>0</v>
      </c>
      <c r="R322" s="93">
        <f t="shared" si="113"/>
        <v>0</v>
      </c>
      <c r="S322" s="93">
        <v>1.16E-3</v>
      </c>
      <c r="T322" s="94">
        <f t="shared" si="114"/>
        <v>2.784E-2</v>
      </c>
      <c r="V322" s="120" t="s">
        <v>948</v>
      </c>
      <c r="AR322" s="95" t="s">
        <v>147</v>
      </c>
      <c r="AT322" s="95" t="s">
        <v>90</v>
      </c>
      <c r="AU322" s="95" t="s">
        <v>94</v>
      </c>
      <c r="AY322" s="7" t="s">
        <v>88</v>
      </c>
      <c r="BE322" s="96">
        <f t="shared" si="115"/>
        <v>0</v>
      </c>
      <c r="BF322" s="96">
        <f t="shared" si="116"/>
        <v>0</v>
      </c>
      <c r="BG322" s="96">
        <f t="shared" si="117"/>
        <v>0</v>
      </c>
      <c r="BH322" s="96">
        <f t="shared" si="118"/>
        <v>0</v>
      </c>
      <c r="BI322" s="96">
        <f t="shared" si="119"/>
        <v>0</v>
      </c>
      <c r="BJ322" s="7" t="s">
        <v>94</v>
      </c>
      <c r="BK322" s="96">
        <f t="shared" si="120"/>
        <v>0</v>
      </c>
      <c r="BL322" s="7" t="s">
        <v>147</v>
      </c>
      <c r="BM322" s="95" t="s">
        <v>601</v>
      </c>
    </row>
    <row r="323" spans="2:65" s="1" customFormat="1" ht="24.2" customHeight="1">
      <c r="B323" s="83"/>
      <c r="C323" s="84">
        <v>169</v>
      </c>
      <c r="D323" s="84" t="s">
        <v>90</v>
      </c>
      <c r="E323" s="85" t="s">
        <v>602</v>
      </c>
      <c r="F323" s="86" t="s">
        <v>603</v>
      </c>
      <c r="G323" s="87" t="s">
        <v>394</v>
      </c>
      <c r="H323" s="88">
        <v>1855.0119999999999</v>
      </c>
      <c r="I323" s="89"/>
      <c r="J323" s="89">
        <f t="shared" si="111"/>
        <v>0</v>
      </c>
      <c r="K323" s="90"/>
      <c r="L323" s="15"/>
      <c r="M323" s="91" t="s">
        <v>0</v>
      </c>
      <c r="N323" s="92" t="s">
        <v>23</v>
      </c>
      <c r="O323" s="93">
        <v>0</v>
      </c>
      <c r="P323" s="93">
        <f t="shared" si="112"/>
        <v>0</v>
      </c>
      <c r="Q323" s="93">
        <v>0</v>
      </c>
      <c r="R323" s="93">
        <f t="shared" si="113"/>
        <v>0</v>
      </c>
      <c r="S323" s="93">
        <v>0</v>
      </c>
      <c r="T323" s="94">
        <f t="shared" si="114"/>
        <v>0</v>
      </c>
      <c r="V323" s="118" t="s">
        <v>949</v>
      </c>
      <c r="AR323" s="95" t="s">
        <v>147</v>
      </c>
      <c r="AT323" s="95" t="s">
        <v>90</v>
      </c>
      <c r="AU323" s="95" t="s">
        <v>94</v>
      </c>
      <c r="AY323" s="7" t="s">
        <v>88</v>
      </c>
      <c r="BE323" s="96">
        <f t="shared" si="115"/>
        <v>0</v>
      </c>
      <c r="BF323" s="96">
        <f t="shared" si="116"/>
        <v>0</v>
      </c>
      <c r="BG323" s="96">
        <f t="shared" si="117"/>
        <v>0</v>
      </c>
      <c r="BH323" s="96">
        <f t="shared" si="118"/>
        <v>0</v>
      </c>
      <c r="BI323" s="96">
        <f t="shared" si="119"/>
        <v>0</v>
      </c>
      <c r="BJ323" s="7" t="s">
        <v>94</v>
      </c>
      <c r="BK323" s="96">
        <f t="shared" si="120"/>
        <v>0</v>
      </c>
      <c r="BL323" s="7" t="s">
        <v>147</v>
      </c>
      <c r="BM323" s="95" t="s">
        <v>604</v>
      </c>
    </row>
    <row r="324" spans="2:65" s="6" customFormat="1" ht="22.9" customHeight="1">
      <c r="B324" s="72"/>
      <c r="D324" s="73" t="s">
        <v>39</v>
      </c>
      <c r="E324" s="81" t="s">
        <v>605</v>
      </c>
      <c r="F324" s="81" t="s">
        <v>606</v>
      </c>
      <c r="J324" s="82">
        <f>SUM(J325:J326)</f>
        <v>0</v>
      </c>
      <c r="L324" s="72"/>
      <c r="M324" s="76"/>
      <c r="P324" s="77">
        <f>SUM(P325:P326)</f>
        <v>133.50190241999999</v>
      </c>
      <c r="R324" s="77">
        <f>SUM(R325:R326)</f>
        <v>0.26779040299999995</v>
      </c>
      <c r="T324" s="78">
        <f>SUM(T325:T326)</f>
        <v>0</v>
      </c>
      <c r="AR324" s="73" t="s">
        <v>94</v>
      </c>
      <c r="AT324" s="79" t="s">
        <v>39</v>
      </c>
      <c r="AU324" s="79" t="s">
        <v>41</v>
      </c>
      <c r="AY324" s="73" t="s">
        <v>88</v>
      </c>
      <c r="BK324" s="80">
        <f>SUM(BK325:BK326)</f>
        <v>0</v>
      </c>
    </row>
    <row r="325" spans="2:65" s="1" customFormat="1" ht="24.2" customHeight="1">
      <c r="B325" s="83"/>
      <c r="C325" s="84">
        <v>170</v>
      </c>
      <c r="D325" s="84" t="s">
        <v>90</v>
      </c>
      <c r="E325" s="85" t="s">
        <v>607</v>
      </c>
      <c r="F325" s="86" t="s">
        <v>608</v>
      </c>
      <c r="G325" s="87" t="s">
        <v>135</v>
      </c>
      <c r="H325" s="88">
        <f>1005.88*1.15</f>
        <v>1156.7619999999999</v>
      </c>
      <c r="I325" s="89"/>
      <c r="J325" s="89">
        <f>ROUND(I325*H325,2)</f>
        <v>0</v>
      </c>
      <c r="K325" s="90"/>
      <c r="L325" s="15"/>
      <c r="M325" s="91" t="s">
        <v>0</v>
      </c>
      <c r="N325" s="92" t="s">
        <v>23</v>
      </c>
      <c r="O325" s="93">
        <v>0.11541</v>
      </c>
      <c r="P325" s="93">
        <f>O325*H325</f>
        <v>133.50190241999999</v>
      </c>
      <c r="Q325" s="93">
        <v>2.3149999999999999E-4</v>
      </c>
      <c r="R325" s="93">
        <f>Q325*H325</f>
        <v>0.26779040299999995</v>
      </c>
      <c r="S325" s="93">
        <v>0</v>
      </c>
      <c r="T325" s="94">
        <f>S325*H325</f>
        <v>0</v>
      </c>
      <c r="V325" s="118" t="s">
        <v>949</v>
      </c>
      <c r="AR325" s="95" t="s">
        <v>147</v>
      </c>
      <c r="AT325" s="95" t="s">
        <v>90</v>
      </c>
      <c r="AU325" s="95" t="s">
        <v>94</v>
      </c>
      <c r="AY325" s="7" t="s">
        <v>88</v>
      </c>
      <c r="BE325" s="96">
        <f>IF(N325="základná",J325,0)</f>
        <v>0</v>
      </c>
      <c r="BF325" s="96">
        <f>IF(N325="znížená",J325,0)</f>
        <v>0</v>
      </c>
      <c r="BG325" s="96">
        <f>IF(N325="zákl. prenesená",J325,0)</f>
        <v>0</v>
      </c>
      <c r="BH325" s="96">
        <f>IF(N325="zníž. prenesená",J325,0)</f>
        <v>0</v>
      </c>
      <c r="BI325" s="96">
        <f>IF(N325="nulová",J325,0)</f>
        <v>0</v>
      </c>
      <c r="BJ325" s="7" t="s">
        <v>94</v>
      </c>
      <c r="BK325" s="96">
        <f>ROUND(I325*H325,2)</f>
        <v>0</v>
      </c>
      <c r="BL325" s="7" t="s">
        <v>147</v>
      </c>
      <c r="BM325" s="95" t="s">
        <v>609</v>
      </c>
    </row>
    <row r="326" spans="2:65" s="1" customFormat="1" ht="24.2" customHeight="1">
      <c r="B326" s="83"/>
      <c r="C326" s="84">
        <v>171</v>
      </c>
      <c r="D326" s="84" t="s">
        <v>90</v>
      </c>
      <c r="E326" s="85" t="s">
        <v>610</v>
      </c>
      <c r="F326" s="86" t="s">
        <v>611</v>
      </c>
      <c r="G326" s="87" t="s">
        <v>394</v>
      </c>
      <c r="H326" s="88">
        <v>187.41200000000001</v>
      </c>
      <c r="I326" s="89"/>
      <c r="J326" s="89">
        <f>ROUND(I326*H326,2)</f>
        <v>0</v>
      </c>
      <c r="K326" s="90"/>
      <c r="L326" s="15"/>
      <c r="M326" s="91" t="s">
        <v>0</v>
      </c>
      <c r="N326" s="92" t="s">
        <v>23</v>
      </c>
      <c r="O326" s="93">
        <v>0</v>
      </c>
      <c r="P326" s="93">
        <f>O326*H326</f>
        <v>0</v>
      </c>
      <c r="Q326" s="93">
        <v>0</v>
      </c>
      <c r="R326" s="93">
        <f>Q326*H326</f>
        <v>0</v>
      </c>
      <c r="S326" s="93">
        <v>0</v>
      </c>
      <c r="T326" s="94">
        <f>S326*H326</f>
        <v>0</v>
      </c>
      <c r="V326" s="118" t="s">
        <v>949</v>
      </c>
      <c r="AR326" s="95" t="s">
        <v>147</v>
      </c>
      <c r="AT326" s="95" t="s">
        <v>90</v>
      </c>
      <c r="AU326" s="95" t="s">
        <v>94</v>
      </c>
      <c r="AY326" s="7" t="s">
        <v>88</v>
      </c>
      <c r="BE326" s="96">
        <f>IF(N326="základná",J326,0)</f>
        <v>0</v>
      </c>
      <c r="BF326" s="96">
        <f>IF(N326="znížená",J326,0)</f>
        <v>0</v>
      </c>
      <c r="BG326" s="96">
        <f>IF(N326="zákl. prenesená",J326,0)</f>
        <v>0</v>
      </c>
      <c r="BH326" s="96">
        <f>IF(N326="zníž. prenesená",J326,0)</f>
        <v>0</v>
      </c>
      <c r="BI326" s="96">
        <f>IF(N326="nulová",J326,0)</f>
        <v>0</v>
      </c>
      <c r="BJ326" s="7" t="s">
        <v>94</v>
      </c>
      <c r="BK326" s="96">
        <f>ROUND(I326*H326,2)</f>
        <v>0</v>
      </c>
      <c r="BL326" s="7" t="s">
        <v>147</v>
      </c>
      <c r="BM326" s="95" t="s">
        <v>612</v>
      </c>
    </row>
    <row r="327" spans="2:65" s="6" customFormat="1" ht="22.9" customHeight="1">
      <c r="B327" s="72"/>
      <c r="D327" s="73" t="s">
        <v>39</v>
      </c>
      <c r="E327" s="81" t="s">
        <v>613</v>
      </c>
      <c r="F327" s="81" t="s">
        <v>614</v>
      </c>
      <c r="J327" s="82">
        <f>SUM(J328:J356)</f>
        <v>0</v>
      </c>
      <c r="L327" s="72"/>
      <c r="M327" s="76"/>
      <c r="P327" s="77">
        <f>SUM(P328:P356)</f>
        <v>140.87760179999998</v>
      </c>
      <c r="R327" s="77">
        <f>SUM(R328:R356)</f>
        <v>1.3169204E-3</v>
      </c>
      <c r="T327" s="78">
        <f>SUM(T328:T356)</f>
        <v>4.5862981200000004</v>
      </c>
      <c r="AR327" s="73" t="s">
        <v>94</v>
      </c>
      <c r="AT327" s="79" t="s">
        <v>39</v>
      </c>
      <c r="AU327" s="79" t="s">
        <v>41</v>
      </c>
      <c r="AY327" s="73" t="s">
        <v>88</v>
      </c>
      <c r="BK327" s="80">
        <f>SUM(BK328:BK356)</f>
        <v>0</v>
      </c>
    </row>
    <row r="328" spans="2:65" s="1" customFormat="1" ht="16.5" customHeight="1">
      <c r="B328" s="83"/>
      <c r="C328" s="84">
        <v>172</v>
      </c>
      <c r="D328" s="84" t="s">
        <v>90</v>
      </c>
      <c r="E328" s="85" t="s">
        <v>615</v>
      </c>
      <c r="F328" s="86" t="s">
        <v>616</v>
      </c>
      <c r="G328" s="87" t="s">
        <v>135</v>
      </c>
      <c r="H328" s="88">
        <v>6.3040000000000003</v>
      </c>
      <c r="I328" s="89"/>
      <c r="J328" s="89">
        <f t="shared" ref="J328:J356" si="121">ROUND(I328*H328,2)</f>
        <v>0</v>
      </c>
      <c r="K328" s="90"/>
      <c r="L328" s="15"/>
      <c r="M328" s="91" t="s">
        <v>0</v>
      </c>
      <c r="N328" s="92" t="s">
        <v>23</v>
      </c>
      <c r="O328" s="93">
        <v>0.125</v>
      </c>
      <c r="P328" s="93">
        <f t="shared" ref="P328:P356" si="122">O328*H328</f>
        <v>0.78800000000000003</v>
      </c>
      <c r="Q328" s="93">
        <v>0</v>
      </c>
      <c r="R328" s="93">
        <f t="shared" ref="R328:R356" si="123">Q328*H328</f>
        <v>0</v>
      </c>
      <c r="S328" s="93">
        <v>1.6379999999999999E-2</v>
      </c>
      <c r="T328" s="94">
        <f t="shared" ref="T328:T356" si="124">S328*H328</f>
        <v>0.10325951999999999</v>
      </c>
      <c r="V328" s="123" t="s">
        <v>950</v>
      </c>
      <c r="AR328" s="95" t="s">
        <v>147</v>
      </c>
      <c r="AT328" s="95" t="s">
        <v>90</v>
      </c>
      <c r="AU328" s="95" t="s">
        <v>94</v>
      </c>
      <c r="AY328" s="7" t="s">
        <v>88</v>
      </c>
      <c r="BE328" s="96">
        <f t="shared" ref="BE328:BE356" si="125">IF(N328="základná",J328,0)</f>
        <v>0</v>
      </c>
      <c r="BF328" s="96">
        <f t="shared" ref="BF328:BF356" si="126">IF(N328="znížená",J328,0)</f>
        <v>0</v>
      </c>
      <c r="BG328" s="96">
        <f t="shared" ref="BG328:BG356" si="127">IF(N328="zákl. prenesená",J328,0)</f>
        <v>0</v>
      </c>
      <c r="BH328" s="96">
        <f t="shared" ref="BH328:BH356" si="128">IF(N328="zníž. prenesená",J328,0)</f>
        <v>0</v>
      </c>
      <c r="BI328" s="96">
        <f t="shared" ref="BI328:BI356" si="129">IF(N328="nulová",J328,0)</f>
        <v>0</v>
      </c>
      <c r="BJ328" s="7" t="s">
        <v>94</v>
      </c>
      <c r="BK328" s="96">
        <f t="shared" ref="BK328:BK356" si="130">ROUND(I328*H328,2)</f>
        <v>0</v>
      </c>
      <c r="BL328" s="7" t="s">
        <v>147</v>
      </c>
      <c r="BM328" s="95" t="s">
        <v>617</v>
      </c>
    </row>
    <row r="329" spans="2:65" s="1" customFormat="1" ht="49.15" customHeight="1">
      <c r="B329" s="83"/>
      <c r="C329" s="84">
        <v>173</v>
      </c>
      <c r="D329" s="84" t="s">
        <v>90</v>
      </c>
      <c r="E329" s="85" t="s">
        <v>618</v>
      </c>
      <c r="F329" s="86" t="s">
        <v>619</v>
      </c>
      <c r="G329" s="87" t="s">
        <v>135</v>
      </c>
      <c r="H329" s="88">
        <f>(1.76+1.34+2.1+1.42)*2</f>
        <v>13.24</v>
      </c>
      <c r="I329" s="89"/>
      <c r="J329" s="89">
        <f t="shared" si="121"/>
        <v>0</v>
      </c>
      <c r="K329" s="90"/>
      <c r="L329" s="15"/>
      <c r="M329" s="91" t="s">
        <v>0</v>
      </c>
      <c r="N329" s="92" t="s">
        <v>23</v>
      </c>
      <c r="O329" s="93">
        <v>0.88312000000000002</v>
      </c>
      <c r="P329" s="93">
        <f t="shared" si="122"/>
        <v>11.692508800000001</v>
      </c>
      <c r="Q329" s="93">
        <v>6.2459999999999995E-5</v>
      </c>
      <c r="R329" s="93">
        <f t="shared" si="123"/>
        <v>8.2697039999999992E-4</v>
      </c>
      <c r="S329" s="93">
        <v>0</v>
      </c>
      <c r="T329" s="94">
        <f t="shared" si="124"/>
        <v>0</v>
      </c>
      <c r="V329" s="123" t="s">
        <v>950</v>
      </c>
      <c r="AR329" s="95" t="s">
        <v>147</v>
      </c>
      <c r="AT329" s="95" t="s">
        <v>90</v>
      </c>
      <c r="AU329" s="95" t="s">
        <v>94</v>
      </c>
      <c r="AY329" s="7" t="s">
        <v>88</v>
      </c>
      <c r="BE329" s="96">
        <f t="shared" si="125"/>
        <v>0</v>
      </c>
      <c r="BF329" s="96">
        <f t="shared" si="126"/>
        <v>0</v>
      </c>
      <c r="BG329" s="96">
        <f t="shared" si="127"/>
        <v>0</v>
      </c>
      <c r="BH329" s="96">
        <f t="shared" si="128"/>
        <v>0</v>
      </c>
      <c r="BI329" s="96">
        <f t="shared" si="129"/>
        <v>0</v>
      </c>
      <c r="BJ329" s="7" t="s">
        <v>94</v>
      </c>
      <c r="BK329" s="96">
        <f t="shared" si="130"/>
        <v>0</v>
      </c>
      <c r="BL329" s="7" t="s">
        <v>147</v>
      </c>
      <c r="BM329" s="95" t="s">
        <v>620</v>
      </c>
    </row>
    <row r="330" spans="2:65" s="1" customFormat="1" ht="24.2" customHeight="1">
      <c r="B330" s="83"/>
      <c r="C330" s="84">
        <v>174</v>
      </c>
      <c r="D330" s="84" t="s">
        <v>90</v>
      </c>
      <c r="E330" s="85" t="s">
        <v>621</v>
      </c>
      <c r="F330" s="86" t="s">
        <v>622</v>
      </c>
      <c r="G330" s="87" t="s">
        <v>135</v>
      </c>
      <c r="H330" s="88">
        <v>49.898000000000003</v>
      </c>
      <c r="I330" s="89"/>
      <c r="J330" s="89">
        <f t="shared" si="121"/>
        <v>0</v>
      </c>
      <c r="K330" s="90"/>
      <c r="L330" s="15"/>
      <c r="M330" s="91" t="s">
        <v>0</v>
      </c>
      <c r="N330" s="92" t="s">
        <v>23</v>
      </c>
      <c r="O330" s="93">
        <v>0.26100000000000001</v>
      </c>
      <c r="P330" s="93">
        <f t="shared" si="122"/>
        <v>13.023378000000001</v>
      </c>
      <c r="Q330" s="93">
        <v>0</v>
      </c>
      <c r="R330" s="93">
        <f t="shared" si="123"/>
        <v>0</v>
      </c>
      <c r="S330" s="93">
        <v>2.4649999999999998E-2</v>
      </c>
      <c r="T330" s="94">
        <f t="shared" si="124"/>
        <v>1.2299857000000001</v>
      </c>
      <c r="V330" s="123" t="s">
        <v>950</v>
      </c>
      <c r="AR330" s="95" t="s">
        <v>147</v>
      </c>
      <c r="AT330" s="95" t="s">
        <v>90</v>
      </c>
      <c r="AU330" s="95" t="s">
        <v>94</v>
      </c>
      <c r="AY330" s="7" t="s">
        <v>88</v>
      </c>
      <c r="BE330" s="96">
        <f t="shared" si="125"/>
        <v>0</v>
      </c>
      <c r="BF330" s="96">
        <f t="shared" si="126"/>
        <v>0</v>
      </c>
      <c r="BG330" s="96">
        <f t="shared" si="127"/>
        <v>0</v>
      </c>
      <c r="BH330" s="96">
        <f t="shared" si="128"/>
        <v>0</v>
      </c>
      <c r="BI330" s="96">
        <f t="shared" si="129"/>
        <v>0</v>
      </c>
      <c r="BJ330" s="7" t="s">
        <v>94</v>
      </c>
      <c r="BK330" s="96">
        <f t="shared" si="130"/>
        <v>0</v>
      </c>
      <c r="BL330" s="7" t="s">
        <v>147</v>
      </c>
      <c r="BM330" s="95" t="s">
        <v>623</v>
      </c>
    </row>
    <row r="331" spans="2:65" s="1" customFormat="1" ht="24.2" customHeight="1">
      <c r="B331" s="83"/>
      <c r="C331" s="84">
        <v>175</v>
      </c>
      <c r="D331" s="84" t="s">
        <v>90</v>
      </c>
      <c r="E331" s="85" t="s">
        <v>624</v>
      </c>
      <c r="F331" s="86" t="s">
        <v>625</v>
      </c>
      <c r="G331" s="87" t="s">
        <v>135</v>
      </c>
      <c r="H331" s="88">
        <f>13.65*3+4.5+9.655</f>
        <v>55.105000000000004</v>
      </c>
      <c r="I331" s="89"/>
      <c r="J331" s="89">
        <f t="shared" si="121"/>
        <v>0</v>
      </c>
      <c r="K331" s="90"/>
      <c r="L331" s="15"/>
      <c r="M331" s="91" t="s">
        <v>0</v>
      </c>
      <c r="N331" s="92" t="s">
        <v>23</v>
      </c>
      <c r="O331" s="93">
        <v>0.38500000000000001</v>
      </c>
      <c r="P331" s="93">
        <f t="shared" si="122"/>
        <v>21.215425000000003</v>
      </c>
      <c r="Q331" s="93">
        <v>0</v>
      </c>
      <c r="R331" s="93">
        <f t="shared" si="123"/>
        <v>0</v>
      </c>
      <c r="S331" s="93">
        <v>1.098E-2</v>
      </c>
      <c r="T331" s="94">
        <f t="shared" si="124"/>
        <v>0.6050529</v>
      </c>
      <c r="V331" s="123" t="s">
        <v>950</v>
      </c>
      <c r="AR331" s="95" t="s">
        <v>147</v>
      </c>
      <c r="AT331" s="95" t="s">
        <v>90</v>
      </c>
      <c r="AU331" s="95" t="s">
        <v>94</v>
      </c>
      <c r="AY331" s="7" t="s">
        <v>88</v>
      </c>
      <c r="BE331" s="96">
        <f t="shared" si="125"/>
        <v>0</v>
      </c>
      <c r="BF331" s="96">
        <f t="shared" si="126"/>
        <v>0</v>
      </c>
      <c r="BG331" s="96">
        <f t="shared" si="127"/>
        <v>0</v>
      </c>
      <c r="BH331" s="96">
        <f t="shared" si="128"/>
        <v>0</v>
      </c>
      <c r="BI331" s="96">
        <f t="shared" si="129"/>
        <v>0</v>
      </c>
      <c r="BJ331" s="7" t="s">
        <v>94</v>
      </c>
      <c r="BK331" s="96">
        <f t="shared" si="130"/>
        <v>0</v>
      </c>
      <c r="BL331" s="7" t="s">
        <v>147</v>
      </c>
      <c r="BM331" s="95" t="s">
        <v>626</v>
      </c>
    </row>
    <row r="332" spans="2:65" s="1" customFormat="1" ht="24.2" customHeight="1">
      <c r="B332" s="83"/>
      <c r="C332" s="84">
        <v>176</v>
      </c>
      <c r="D332" s="84" t="s">
        <v>90</v>
      </c>
      <c r="E332" s="85" t="s">
        <v>627</v>
      </c>
      <c r="F332" s="86" t="s">
        <v>886</v>
      </c>
      <c r="G332" s="87" t="s">
        <v>135</v>
      </c>
      <c r="H332" s="88">
        <v>331</v>
      </c>
      <c r="I332" s="89"/>
      <c r="J332" s="89">
        <f t="shared" si="121"/>
        <v>0</v>
      </c>
      <c r="K332" s="90"/>
      <c r="L332" s="15"/>
      <c r="M332" s="91" t="s">
        <v>0</v>
      </c>
      <c r="N332" s="92" t="s">
        <v>23</v>
      </c>
      <c r="O332" s="93">
        <v>6.9000000000000006E-2</v>
      </c>
      <c r="P332" s="93">
        <f t="shared" si="122"/>
        <v>22.839000000000002</v>
      </c>
      <c r="Q332" s="93">
        <v>0</v>
      </c>
      <c r="R332" s="93">
        <f t="shared" si="123"/>
        <v>0</v>
      </c>
      <c r="S332" s="93">
        <v>8.0000000000000002E-3</v>
      </c>
      <c r="T332" s="94">
        <f t="shared" si="124"/>
        <v>2.6480000000000001</v>
      </c>
      <c r="V332" s="123" t="s">
        <v>950</v>
      </c>
      <c r="AR332" s="95" t="s">
        <v>147</v>
      </c>
      <c r="AT332" s="95" t="s">
        <v>90</v>
      </c>
      <c r="AU332" s="95" t="s">
        <v>94</v>
      </c>
      <c r="AY332" s="7" t="s">
        <v>88</v>
      </c>
      <c r="BE332" s="96">
        <f t="shared" si="125"/>
        <v>0</v>
      </c>
      <c r="BF332" s="96">
        <f t="shared" si="126"/>
        <v>0</v>
      </c>
      <c r="BG332" s="96">
        <f t="shared" si="127"/>
        <v>0</v>
      </c>
      <c r="BH332" s="96">
        <f t="shared" si="128"/>
        <v>0</v>
      </c>
      <c r="BI332" s="96">
        <f t="shared" si="129"/>
        <v>0</v>
      </c>
      <c r="BJ332" s="7" t="s">
        <v>94</v>
      </c>
      <c r="BK332" s="96">
        <f t="shared" si="130"/>
        <v>0</v>
      </c>
      <c r="BL332" s="7" t="s">
        <v>147</v>
      </c>
      <c r="BM332" s="95" t="s">
        <v>628</v>
      </c>
    </row>
    <row r="333" spans="2:65" s="1" customFormat="1" ht="37.9" customHeight="1">
      <c r="B333" s="83"/>
      <c r="C333" s="84">
        <v>177</v>
      </c>
      <c r="D333" s="84" t="s">
        <v>90</v>
      </c>
      <c r="E333" s="85" t="s">
        <v>629</v>
      </c>
      <c r="F333" s="86" t="s">
        <v>898</v>
      </c>
      <c r="G333" s="87" t="s">
        <v>160</v>
      </c>
      <c r="H333" s="88">
        <v>25</v>
      </c>
      <c r="I333" s="89"/>
      <c r="J333" s="89">
        <f t="shared" si="121"/>
        <v>0</v>
      </c>
      <c r="K333" s="90"/>
      <c r="L333" s="15"/>
      <c r="M333" s="91" t="s">
        <v>0</v>
      </c>
      <c r="N333" s="92" t="s">
        <v>23</v>
      </c>
      <c r="O333" s="93">
        <v>1.2250099999999999</v>
      </c>
      <c r="P333" s="93">
        <f t="shared" si="122"/>
        <v>30.625249999999998</v>
      </c>
      <c r="Q333" s="93">
        <v>0</v>
      </c>
      <c r="R333" s="93">
        <f t="shared" si="123"/>
        <v>0</v>
      </c>
      <c r="S333" s="93">
        <v>0</v>
      </c>
      <c r="T333" s="94">
        <f t="shared" si="124"/>
        <v>0</v>
      </c>
      <c r="V333" s="123" t="s">
        <v>950</v>
      </c>
      <c r="AR333" s="95" t="s">
        <v>147</v>
      </c>
      <c r="AT333" s="95" t="s">
        <v>90</v>
      </c>
      <c r="AU333" s="95" t="s">
        <v>94</v>
      </c>
      <c r="AY333" s="7" t="s">
        <v>88</v>
      </c>
      <c r="BE333" s="96">
        <f t="shared" si="125"/>
        <v>0</v>
      </c>
      <c r="BF333" s="96">
        <f t="shared" si="126"/>
        <v>0</v>
      </c>
      <c r="BG333" s="96">
        <f t="shared" si="127"/>
        <v>0</v>
      </c>
      <c r="BH333" s="96">
        <f t="shared" si="128"/>
        <v>0</v>
      </c>
      <c r="BI333" s="96">
        <f t="shared" si="129"/>
        <v>0</v>
      </c>
      <c r="BJ333" s="7" t="s">
        <v>94</v>
      </c>
      <c r="BK333" s="96">
        <f t="shared" si="130"/>
        <v>0</v>
      </c>
      <c r="BL333" s="7" t="s">
        <v>147</v>
      </c>
      <c r="BM333" s="95" t="s">
        <v>630</v>
      </c>
    </row>
    <row r="334" spans="2:65" s="1" customFormat="1" ht="37.9" customHeight="1">
      <c r="B334" s="83"/>
      <c r="C334" s="84">
        <v>178</v>
      </c>
      <c r="D334" s="84" t="s">
        <v>90</v>
      </c>
      <c r="E334" s="85" t="s">
        <v>631</v>
      </c>
      <c r="F334" s="86" t="s">
        <v>899</v>
      </c>
      <c r="G334" s="87" t="s">
        <v>160</v>
      </c>
      <c r="H334" s="88">
        <v>19</v>
      </c>
      <c r="I334" s="89"/>
      <c r="J334" s="89">
        <f t="shared" si="121"/>
        <v>0</v>
      </c>
      <c r="K334" s="90"/>
      <c r="L334" s="15"/>
      <c r="M334" s="91" t="s">
        <v>0</v>
      </c>
      <c r="N334" s="92" t="s">
        <v>23</v>
      </c>
      <c r="O334" s="93">
        <v>1.2250099999999999</v>
      </c>
      <c r="P334" s="93">
        <f t="shared" si="122"/>
        <v>23.275189999999998</v>
      </c>
      <c r="Q334" s="93">
        <v>0</v>
      </c>
      <c r="R334" s="93">
        <f t="shared" si="123"/>
        <v>0</v>
      </c>
      <c r="S334" s="93">
        <v>0</v>
      </c>
      <c r="T334" s="94">
        <f t="shared" si="124"/>
        <v>0</v>
      </c>
      <c r="V334" s="123" t="s">
        <v>950</v>
      </c>
      <c r="AR334" s="95" t="s">
        <v>147</v>
      </c>
      <c r="AT334" s="95" t="s">
        <v>90</v>
      </c>
      <c r="AU334" s="95" t="s">
        <v>94</v>
      </c>
      <c r="AY334" s="7" t="s">
        <v>88</v>
      </c>
      <c r="BE334" s="96">
        <f t="shared" si="125"/>
        <v>0</v>
      </c>
      <c r="BF334" s="96">
        <f t="shared" si="126"/>
        <v>0</v>
      </c>
      <c r="BG334" s="96">
        <f t="shared" si="127"/>
        <v>0</v>
      </c>
      <c r="BH334" s="96">
        <f t="shared" si="128"/>
        <v>0</v>
      </c>
      <c r="BI334" s="96">
        <f t="shared" si="129"/>
        <v>0</v>
      </c>
      <c r="BJ334" s="7" t="s">
        <v>94</v>
      </c>
      <c r="BK334" s="96">
        <f t="shared" si="130"/>
        <v>0</v>
      </c>
      <c r="BL334" s="7" t="s">
        <v>147</v>
      </c>
      <c r="BM334" s="95" t="s">
        <v>632</v>
      </c>
    </row>
    <row r="335" spans="2:65" s="1" customFormat="1" ht="37.9" customHeight="1">
      <c r="B335" s="83"/>
      <c r="C335" s="84">
        <v>179</v>
      </c>
      <c r="D335" s="84" t="s">
        <v>90</v>
      </c>
      <c r="E335" s="85" t="s">
        <v>633</v>
      </c>
      <c r="F335" s="86" t="s">
        <v>900</v>
      </c>
      <c r="G335" s="87" t="s">
        <v>160</v>
      </c>
      <c r="H335" s="88">
        <v>1</v>
      </c>
      <c r="I335" s="89"/>
      <c r="J335" s="89">
        <f t="shared" si="121"/>
        <v>0</v>
      </c>
      <c r="K335" s="90"/>
      <c r="L335" s="15"/>
      <c r="M335" s="91" t="s">
        <v>0</v>
      </c>
      <c r="N335" s="92" t="s">
        <v>23</v>
      </c>
      <c r="O335" s="93">
        <v>1.2250099999999999</v>
      </c>
      <c r="P335" s="93">
        <f t="shared" si="122"/>
        <v>1.2250099999999999</v>
      </c>
      <c r="Q335" s="93">
        <v>0</v>
      </c>
      <c r="R335" s="93">
        <f t="shared" si="123"/>
        <v>0</v>
      </c>
      <c r="S335" s="93">
        <v>0</v>
      </c>
      <c r="T335" s="94">
        <f t="shared" si="124"/>
        <v>0</v>
      </c>
      <c r="V335" s="123" t="s">
        <v>950</v>
      </c>
      <c r="AR335" s="95" t="s">
        <v>147</v>
      </c>
      <c r="AT335" s="95" t="s">
        <v>90</v>
      </c>
      <c r="AU335" s="95" t="s">
        <v>94</v>
      </c>
      <c r="AY335" s="7" t="s">
        <v>88</v>
      </c>
      <c r="BE335" s="96">
        <f t="shared" si="125"/>
        <v>0</v>
      </c>
      <c r="BF335" s="96">
        <f t="shared" si="126"/>
        <v>0</v>
      </c>
      <c r="BG335" s="96">
        <f t="shared" si="127"/>
        <v>0</v>
      </c>
      <c r="BH335" s="96">
        <f t="shared" si="128"/>
        <v>0</v>
      </c>
      <c r="BI335" s="96">
        <f t="shared" si="129"/>
        <v>0</v>
      </c>
      <c r="BJ335" s="7" t="s">
        <v>94</v>
      </c>
      <c r="BK335" s="96">
        <f t="shared" si="130"/>
        <v>0</v>
      </c>
      <c r="BL335" s="7" t="s">
        <v>147</v>
      </c>
      <c r="BM335" s="95" t="s">
        <v>634</v>
      </c>
    </row>
    <row r="336" spans="2:65" s="1" customFormat="1" ht="44.25" customHeight="1">
      <c r="B336" s="83"/>
      <c r="C336" s="84">
        <v>180</v>
      </c>
      <c r="D336" s="84" t="s">
        <v>90</v>
      </c>
      <c r="E336" s="85" t="s">
        <v>635</v>
      </c>
      <c r="F336" s="86" t="s">
        <v>901</v>
      </c>
      <c r="G336" s="87" t="s">
        <v>160</v>
      </c>
      <c r="H336" s="88">
        <v>2</v>
      </c>
      <c r="I336" s="89"/>
      <c r="J336" s="89">
        <f t="shared" si="121"/>
        <v>0</v>
      </c>
      <c r="K336" s="90"/>
      <c r="L336" s="15"/>
      <c r="M336" s="91" t="s">
        <v>0</v>
      </c>
      <c r="N336" s="92" t="s">
        <v>23</v>
      </c>
      <c r="O336" s="93">
        <v>1.2250099999999999</v>
      </c>
      <c r="P336" s="93">
        <f t="shared" si="122"/>
        <v>2.4500199999999999</v>
      </c>
      <c r="Q336" s="93">
        <v>0</v>
      </c>
      <c r="R336" s="93">
        <f t="shared" si="123"/>
        <v>0</v>
      </c>
      <c r="S336" s="93">
        <v>0</v>
      </c>
      <c r="T336" s="94">
        <f t="shared" si="124"/>
        <v>0</v>
      </c>
      <c r="V336" s="123" t="s">
        <v>950</v>
      </c>
      <c r="AR336" s="95" t="s">
        <v>147</v>
      </c>
      <c r="AT336" s="95" t="s">
        <v>90</v>
      </c>
      <c r="AU336" s="95" t="s">
        <v>94</v>
      </c>
      <c r="AY336" s="7" t="s">
        <v>88</v>
      </c>
      <c r="BE336" s="96">
        <f t="shared" si="125"/>
        <v>0</v>
      </c>
      <c r="BF336" s="96">
        <f t="shared" si="126"/>
        <v>0</v>
      </c>
      <c r="BG336" s="96">
        <f t="shared" si="127"/>
        <v>0</v>
      </c>
      <c r="BH336" s="96">
        <f t="shared" si="128"/>
        <v>0</v>
      </c>
      <c r="BI336" s="96">
        <f t="shared" si="129"/>
        <v>0</v>
      </c>
      <c r="BJ336" s="7" t="s">
        <v>94</v>
      </c>
      <c r="BK336" s="96">
        <f t="shared" si="130"/>
        <v>0</v>
      </c>
      <c r="BL336" s="7" t="s">
        <v>147</v>
      </c>
      <c r="BM336" s="95" t="s">
        <v>636</v>
      </c>
    </row>
    <row r="337" spans="2:65" s="1" customFormat="1" ht="37.9" customHeight="1">
      <c r="B337" s="83"/>
      <c r="C337" s="84">
        <v>181</v>
      </c>
      <c r="D337" s="84" t="s">
        <v>90</v>
      </c>
      <c r="E337" s="85" t="s">
        <v>637</v>
      </c>
      <c r="F337" s="86" t="s">
        <v>902</v>
      </c>
      <c r="G337" s="87" t="s">
        <v>160</v>
      </c>
      <c r="H337" s="88">
        <v>1</v>
      </c>
      <c r="I337" s="89"/>
      <c r="J337" s="89">
        <f t="shared" si="121"/>
        <v>0</v>
      </c>
      <c r="K337" s="90"/>
      <c r="L337" s="15"/>
      <c r="M337" s="91" t="s">
        <v>0</v>
      </c>
      <c r="N337" s="92" t="s">
        <v>23</v>
      </c>
      <c r="O337" s="93">
        <v>1.2250099999999999</v>
      </c>
      <c r="P337" s="93">
        <f t="shared" si="122"/>
        <v>1.2250099999999999</v>
      </c>
      <c r="Q337" s="93">
        <v>0</v>
      </c>
      <c r="R337" s="93">
        <f t="shared" si="123"/>
        <v>0</v>
      </c>
      <c r="S337" s="93">
        <v>0</v>
      </c>
      <c r="T337" s="94">
        <f t="shared" si="124"/>
        <v>0</v>
      </c>
      <c r="V337" s="123" t="s">
        <v>950</v>
      </c>
      <c r="AR337" s="95" t="s">
        <v>147</v>
      </c>
      <c r="AT337" s="95" t="s">
        <v>90</v>
      </c>
      <c r="AU337" s="95" t="s">
        <v>94</v>
      </c>
      <c r="AY337" s="7" t="s">
        <v>88</v>
      </c>
      <c r="BE337" s="96">
        <f t="shared" si="125"/>
        <v>0</v>
      </c>
      <c r="BF337" s="96">
        <f t="shared" si="126"/>
        <v>0</v>
      </c>
      <c r="BG337" s="96">
        <f t="shared" si="127"/>
        <v>0</v>
      </c>
      <c r="BH337" s="96">
        <f t="shared" si="128"/>
        <v>0</v>
      </c>
      <c r="BI337" s="96">
        <f t="shared" si="129"/>
        <v>0</v>
      </c>
      <c r="BJ337" s="7" t="s">
        <v>94</v>
      </c>
      <c r="BK337" s="96">
        <f t="shared" si="130"/>
        <v>0</v>
      </c>
      <c r="BL337" s="7" t="s">
        <v>147</v>
      </c>
      <c r="BM337" s="95" t="s">
        <v>638</v>
      </c>
    </row>
    <row r="338" spans="2:65" s="1" customFormat="1" ht="44.25" customHeight="1">
      <c r="B338" s="83"/>
      <c r="C338" s="84">
        <v>182</v>
      </c>
      <c r="D338" s="84" t="s">
        <v>90</v>
      </c>
      <c r="E338" s="85" t="s">
        <v>639</v>
      </c>
      <c r="F338" s="86" t="s">
        <v>945</v>
      </c>
      <c r="G338" s="87" t="s">
        <v>160</v>
      </c>
      <c r="H338" s="88">
        <v>2</v>
      </c>
      <c r="I338" s="89"/>
      <c r="J338" s="89">
        <f t="shared" si="121"/>
        <v>0</v>
      </c>
      <c r="K338" s="90"/>
      <c r="L338" s="15"/>
      <c r="M338" s="91" t="s">
        <v>0</v>
      </c>
      <c r="N338" s="92" t="s">
        <v>23</v>
      </c>
      <c r="O338" s="93">
        <v>1.2250099999999999</v>
      </c>
      <c r="P338" s="93">
        <f t="shared" si="122"/>
        <v>2.4500199999999999</v>
      </c>
      <c r="Q338" s="93">
        <v>0</v>
      </c>
      <c r="R338" s="93">
        <f t="shared" si="123"/>
        <v>0</v>
      </c>
      <c r="S338" s="93">
        <v>0</v>
      </c>
      <c r="T338" s="94">
        <f t="shared" si="124"/>
        <v>0</v>
      </c>
      <c r="V338" s="123" t="s">
        <v>950</v>
      </c>
      <c r="AR338" s="95" t="s">
        <v>147</v>
      </c>
      <c r="AT338" s="95" t="s">
        <v>90</v>
      </c>
      <c r="AU338" s="95" t="s">
        <v>94</v>
      </c>
      <c r="AY338" s="7" t="s">
        <v>88</v>
      </c>
      <c r="BE338" s="96">
        <f t="shared" si="125"/>
        <v>0</v>
      </c>
      <c r="BF338" s="96">
        <f t="shared" si="126"/>
        <v>0</v>
      </c>
      <c r="BG338" s="96">
        <f t="shared" si="127"/>
        <v>0</v>
      </c>
      <c r="BH338" s="96">
        <f t="shared" si="128"/>
        <v>0</v>
      </c>
      <c r="BI338" s="96">
        <f t="shared" si="129"/>
        <v>0</v>
      </c>
      <c r="BJ338" s="7" t="s">
        <v>94</v>
      </c>
      <c r="BK338" s="96">
        <f t="shared" si="130"/>
        <v>0</v>
      </c>
      <c r="BL338" s="7" t="s">
        <v>147</v>
      </c>
      <c r="BM338" s="95" t="s">
        <v>640</v>
      </c>
    </row>
    <row r="339" spans="2:65" s="1" customFormat="1" ht="44.25" customHeight="1">
      <c r="B339" s="83"/>
      <c r="C339" s="84">
        <v>183</v>
      </c>
      <c r="D339" s="84" t="s">
        <v>90</v>
      </c>
      <c r="E339" s="85" t="s">
        <v>641</v>
      </c>
      <c r="F339" s="86" t="s">
        <v>903</v>
      </c>
      <c r="G339" s="87" t="s">
        <v>160</v>
      </c>
      <c r="H339" s="88">
        <v>2</v>
      </c>
      <c r="I339" s="89"/>
      <c r="J339" s="89">
        <f t="shared" si="121"/>
        <v>0</v>
      </c>
      <c r="K339" s="90"/>
      <c r="L339" s="15"/>
      <c r="M339" s="91" t="s">
        <v>0</v>
      </c>
      <c r="N339" s="92" t="s">
        <v>23</v>
      </c>
      <c r="O339" s="93">
        <v>1.2250099999999999</v>
      </c>
      <c r="P339" s="93">
        <f t="shared" si="122"/>
        <v>2.4500199999999999</v>
      </c>
      <c r="Q339" s="93">
        <v>0</v>
      </c>
      <c r="R339" s="93">
        <f t="shared" si="123"/>
        <v>0</v>
      </c>
      <c r="S339" s="93">
        <v>0</v>
      </c>
      <c r="T339" s="94">
        <f t="shared" si="124"/>
        <v>0</v>
      </c>
      <c r="V339" s="123" t="s">
        <v>950</v>
      </c>
      <c r="AR339" s="95" t="s">
        <v>147</v>
      </c>
      <c r="AT339" s="95" t="s">
        <v>90</v>
      </c>
      <c r="AU339" s="95" t="s">
        <v>94</v>
      </c>
      <c r="AY339" s="7" t="s">
        <v>88</v>
      </c>
      <c r="BE339" s="96">
        <f t="shared" si="125"/>
        <v>0</v>
      </c>
      <c r="BF339" s="96">
        <f t="shared" si="126"/>
        <v>0</v>
      </c>
      <c r="BG339" s="96">
        <f t="shared" si="127"/>
        <v>0</v>
      </c>
      <c r="BH339" s="96">
        <f t="shared" si="128"/>
        <v>0</v>
      </c>
      <c r="BI339" s="96">
        <f t="shared" si="129"/>
        <v>0</v>
      </c>
      <c r="BJ339" s="7" t="s">
        <v>94</v>
      </c>
      <c r="BK339" s="96">
        <f t="shared" si="130"/>
        <v>0</v>
      </c>
      <c r="BL339" s="7" t="s">
        <v>147</v>
      </c>
      <c r="BM339" s="95" t="s">
        <v>642</v>
      </c>
    </row>
    <row r="340" spans="2:65" s="1" customFormat="1" ht="44.25" customHeight="1">
      <c r="B340" s="83"/>
      <c r="C340" s="84">
        <v>184</v>
      </c>
      <c r="D340" s="84" t="s">
        <v>90</v>
      </c>
      <c r="E340" s="85" t="s">
        <v>643</v>
      </c>
      <c r="F340" s="86" t="s">
        <v>904</v>
      </c>
      <c r="G340" s="87" t="s">
        <v>160</v>
      </c>
      <c r="H340" s="88">
        <v>1</v>
      </c>
      <c r="I340" s="89"/>
      <c r="J340" s="89">
        <f t="shared" si="121"/>
        <v>0</v>
      </c>
      <c r="K340" s="90"/>
      <c r="L340" s="15"/>
      <c r="M340" s="91" t="s">
        <v>0</v>
      </c>
      <c r="N340" s="92" t="s">
        <v>23</v>
      </c>
      <c r="O340" s="93">
        <v>1.2250099999999999</v>
      </c>
      <c r="P340" s="93">
        <f t="shared" si="122"/>
        <v>1.2250099999999999</v>
      </c>
      <c r="Q340" s="93">
        <v>0</v>
      </c>
      <c r="R340" s="93">
        <f t="shared" si="123"/>
        <v>0</v>
      </c>
      <c r="S340" s="93">
        <v>0</v>
      </c>
      <c r="T340" s="94">
        <f t="shared" si="124"/>
        <v>0</v>
      </c>
      <c r="V340" s="123" t="s">
        <v>950</v>
      </c>
      <c r="AR340" s="95" t="s">
        <v>147</v>
      </c>
      <c r="AT340" s="95" t="s">
        <v>90</v>
      </c>
      <c r="AU340" s="95" t="s">
        <v>94</v>
      </c>
      <c r="AY340" s="7" t="s">
        <v>88</v>
      </c>
      <c r="BE340" s="96">
        <f t="shared" si="125"/>
        <v>0</v>
      </c>
      <c r="BF340" s="96">
        <f t="shared" si="126"/>
        <v>0</v>
      </c>
      <c r="BG340" s="96">
        <f t="shared" si="127"/>
        <v>0</v>
      </c>
      <c r="BH340" s="96">
        <f t="shared" si="128"/>
        <v>0</v>
      </c>
      <c r="BI340" s="96">
        <f t="shared" si="129"/>
        <v>0</v>
      </c>
      <c r="BJ340" s="7" t="s">
        <v>94</v>
      </c>
      <c r="BK340" s="96">
        <f t="shared" si="130"/>
        <v>0</v>
      </c>
      <c r="BL340" s="7" t="s">
        <v>147</v>
      </c>
      <c r="BM340" s="95" t="s">
        <v>644</v>
      </c>
    </row>
    <row r="341" spans="2:65" s="1" customFormat="1" ht="44.25" customHeight="1">
      <c r="B341" s="83"/>
      <c r="C341" s="84">
        <v>185</v>
      </c>
      <c r="D341" s="84" t="s">
        <v>90</v>
      </c>
      <c r="E341" s="85" t="s">
        <v>645</v>
      </c>
      <c r="F341" s="86" t="s">
        <v>905</v>
      </c>
      <c r="G341" s="87" t="s">
        <v>160</v>
      </c>
      <c r="H341" s="88">
        <v>2</v>
      </c>
      <c r="I341" s="89"/>
      <c r="J341" s="89">
        <f t="shared" si="121"/>
        <v>0</v>
      </c>
      <c r="K341" s="90"/>
      <c r="L341" s="15"/>
      <c r="M341" s="91" t="s">
        <v>0</v>
      </c>
      <c r="N341" s="92" t="s">
        <v>23</v>
      </c>
      <c r="O341" s="93">
        <v>1.2250099999999999</v>
      </c>
      <c r="P341" s="93">
        <f t="shared" si="122"/>
        <v>2.4500199999999999</v>
      </c>
      <c r="Q341" s="93">
        <v>0</v>
      </c>
      <c r="R341" s="93">
        <f t="shared" si="123"/>
        <v>0</v>
      </c>
      <c r="S341" s="93">
        <v>0</v>
      </c>
      <c r="T341" s="94">
        <f t="shared" si="124"/>
        <v>0</v>
      </c>
      <c r="V341" s="123" t="s">
        <v>950</v>
      </c>
      <c r="AR341" s="95" t="s">
        <v>147</v>
      </c>
      <c r="AT341" s="95" t="s">
        <v>90</v>
      </c>
      <c r="AU341" s="95" t="s">
        <v>94</v>
      </c>
      <c r="AY341" s="7" t="s">
        <v>88</v>
      </c>
      <c r="BE341" s="96">
        <f t="shared" si="125"/>
        <v>0</v>
      </c>
      <c r="BF341" s="96">
        <f t="shared" si="126"/>
        <v>0</v>
      </c>
      <c r="BG341" s="96">
        <f t="shared" si="127"/>
        <v>0</v>
      </c>
      <c r="BH341" s="96">
        <f t="shared" si="128"/>
        <v>0</v>
      </c>
      <c r="BI341" s="96">
        <f t="shared" si="129"/>
        <v>0</v>
      </c>
      <c r="BJ341" s="7" t="s">
        <v>94</v>
      </c>
      <c r="BK341" s="96">
        <f t="shared" si="130"/>
        <v>0</v>
      </c>
      <c r="BL341" s="7" t="s">
        <v>147</v>
      </c>
      <c r="BM341" s="95" t="s">
        <v>646</v>
      </c>
    </row>
    <row r="342" spans="2:65" s="1" customFormat="1" ht="44.25" customHeight="1">
      <c r="B342" s="83"/>
      <c r="C342" s="84">
        <v>186</v>
      </c>
      <c r="D342" s="84" t="s">
        <v>90</v>
      </c>
      <c r="E342" s="85" t="s">
        <v>645</v>
      </c>
      <c r="F342" s="86" t="s">
        <v>946</v>
      </c>
      <c r="G342" s="87" t="s">
        <v>160</v>
      </c>
      <c r="H342" s="88">
        <v>1</v>
      </c>
      <c r="I342" s="89"/>
      <c r="J342" s="89">
        <f t="shared" ref="J342" si="131">ROUND(I342*H342,2)</f>
        <v>0</v>
      </c>
      <c r="K342" s="90"/>
      <c r="L342" s="15"/>
      <c r="M342" s="91"/>
      <c r="N342" s="92"/>
      <c r="O342" s="93"/>
      <c r="P342" s="93"/>
      <c r="Q342" s="93"/>
      <c r="R342" s="93"/>
      <c r="S342" s="93"/>
      <c r="T342" s="94"/>
      <c r="V342" s="123" t="s">
        <v>950</v>
      </c>
      <c r="AR342" s="95"/>
      <c r="AT342" s="95"/>
      <c r="AU342" s="95"/>
      <c r="AY342" s="7"/>
      <c r="BE342" s="96"/>
      <c r="BF342" s="96"/>
      <c r="BG342" s="96"/>
      <c r="BH342" s="96"/>
      <c r="BI342" s="96"/>
      <c r="BJ342" s="7"/>
      <c r="BK342" s="96"/>
      <c r="BL342" s="7"/>
      <c r="BM342" s="95"/>
    </row>
    <row r="343" spans="2:65" s="1" customFormat="1" ht="24" customHeight="1">
      <c r="B343" s="83"/>
      <c r="C343" s="84">
        <v>187</v>
      </c>
      <c r="D343" s="84" t="s">
        <v>90</v>
      </c>
      <c r="E343" s="85" t="s">
        <v>906</v>
      </c>
      <c r="F343" s="86" t="s">
        <v>918</v>
      </c>
      <c r="G343" s="87" t="s">
        <v>160</v>
      </c>
      <c r="H343" s="88">
        <v>3</v>
      </c>
      <c r="I343" s="89"/>
      <c r="J343" s="89">
        <f t="shared" si="121"/>
        <v>0</v>
      </c>
      <c r="K343" s="90"/>
      <c r="L343" s="15"/>
      <c r="M343" s="91" t="s">
        <v>0</v>
      </c>
      <c r="N343" s="92" t="s">
        <v>23</v>
      </c>
      <c r="O343" s="93">
        <v>0.51775000000000004</v>
      </c>
      <c r="P343" s="93">
        <f t="shared" si="122"/>
        <v>1.5532500000000002</v>
      </c>
      <c r="Q343" s="93">
        <v>6.1240000000000003E-5</v>
      </c>
      <c r="R343" s="93">
        <f t="shared" si="123"/>
        <v>1.8372000000000001E-4</v>
      </c>
      <c r="S343" s="93">
        <v>0</v>
      </c>
      <c r="T343" s="94">
        <f t="shared" si="124"/>
        <v>0</v>
      </c>
      <c r="V343" s="127" t="s">
        <v>956</v>
      </c>
      <c r="AR343" s="95" t="s">
        <v>147</v>
      </c>
      <c r="AT343" s="95" t="s">
        <v>90</v>
      </c>
      <c r="AU343" s="95" t="s">
        <v>94</v>
      </c>
      <c r="AY343" s="7" t="s">
        <v>88</v>
      </c>
      <c r="BE343" s="96">
        <f t="shared" si="125"/>
        <v>0</v>
      </c>
      <c r="BF343" s="96">
        <f t="shared" si="126"/>
        <v>0</v>
      </c>
      <c r="BG343" s="96">
        <f t="shared" si="127"/>
        <v>0</v>
      </c>
      <c r="BH343" s="96">
        <f t="shared" si="128"/>
        <v>0</v>
      </c>
      <c r="BI343" s="96">
        <f t="shared" si="129"/>
        <v>0</v>
      </c>
      <c r="BJ343" s="7" t="s">
        <v>94</v>
      </c>
      <c r="BK343" s="96">
        <f t="shared" si="130"/>
        <v>0</v>
      </c>
      <c r="BL343" s="7" t="s">
        <v>147</v>
      </c>
      <c r="BM343" s="95" t="s">
        <v>647</v>
      </c>
    </row>
    <row r="344" spans="2:65" s="1" customFormat="1" ht="24.2" customHeight="1">
      <c r="B344" s="83"/>
      <c r="C344" s="84">
        <v>188</v>
      </c>
      <c r="D344" s="84" t="s">
        <v>90</v>
      </c>
      <c r="E344" s="85" t="s">
        <v>907</v>
      </c>
      <c r="F344" s="86" t="s">
        <v>919</v>
      </c>
      <c r="G344" s="87" t="s">
        <v>160</v>
      </c>
      <c r="H344" s="88">
        <v>2</v>
      </c>
      <c r="I344" s="89"/>
      <c r="J344" s="89">
        <f t="shared" ref="J344:J353" si="132">ROUND(I344*H344,2)</f>
        <v>0</v>
      </c>
      <c r="K344" s="90"/>
      <c r="L344" s="15"/>
      <c r="M344" s="91" t="s">
        <v>0</v>
      </c>
      <c r="N344" s="92" t="s">
        <v>23</v>
      </c>
      <c r="O344" s="93">
        <v>0.71281000000000005</v>
      </c>
      <c r="P344" s="93">
        <f t="shared" si="122"/>
        <v>1.4256200000000001</v>
      </c>
      <c r="Q344" s="93">
        <v>9.187E-5</v>
      </c>
      <c r="R344" s="93">
        <f t="shared" si="123"/>
        <v>1.8374E-4</v>
      </c>
      <c r="S344" s="93">
        <v>0</v>
      </c>
      <c r="T344" s="94">
        <f t="shared" si="124"/>
        <v>0</v>
      </c>
      <c r="V344" s="127" t="s">
        <v>956</v>
      </c>
      <c r="AR344" s="95" t="s">
        <v>147</v>
      </c>
      <c r="AT344" s="95" t="s">
        <v>90</v>
      </c>
      <c r="AU344" s="95" t="s">
        <v>94</v>
      </c>
      <c r="AY344" s="7" t="s">
        <v>88</v>
      </c>
      <c r="BE344" s="96">
        <f t="shared" si="125"/>
        <v>0</v>
      </c>
      <c r="BF344" s="96">
        <f t="shared" si="126"/>
        <v>0</v>
      </c>
      <c r="BG344" s="96">
        <f t="shared" si="127"/>
        <v>0</v>
      </c>
      <c r="BH344" s="96">
        <f t="shared" si="128"/>
        <v>0</v>
      </c>
      <c r="BI344" s="96">
        <f t="shared" si="129"/>
        <v>0</v>
      </c>
      <c r="BJ344" s="7" t="s">
        <v>94</v>
      </c>
      <c r="BK344" s="96">
        <f t="shared" si="130"/>
        <v>0</v>
      </c>
      <c r="BL344" s="7" t="s">
        <v>147</v>
      </c>
      <c r="BM344" s="95" t="s">
        <v>648</v>
      </c>
    </row>
    <row r="345" spans="2:65" s="1" customFormat="1" ht="24.2" customHeight="1">
      <c r="B345" s="83"/>
      <c r="C345" s="84">
        <v>189</v>
      </c>
      <c r="D345" s="84" t="s">
        <v>90</v>
      </c>
      <c r="E345" s="85" t="s">
        <v>908</v>
      </c>
      <c r="F345" s="86" t="s">
        <v>920</v>
      </c>
      <c r="G345" s="87" t="s">
        <v>160</v>
      </c>
      <c r="H345" s="88">
        <v>2</v>
      </c>
      <c r="I345" s="89"/>
      <c r="J345" s="89">
        <f t="shared" si="132"/>
        <v>0</v>
      </c>
      <c r="K345" s="90"/>
      <c r="L345" s="15"/>
      <c r="M345" s="91"/>
      <c r="N345" s="92"/>
      <c r="O345" s="93"/>
      <c r="P345" s="93"/>
      <c r="Q345" s="93"/>
      <c r="R345" s="93"/>
      <c r="S345" s="93"/>
      <c r="T345" s="94"/>
      <c r="V345" s="127" t="s">
        <v>956</v>
      </c>
      <c r="AR345" s="95"/>
      <c r="AT345" s="95"/>
      <c r="AU345" s="95"/>
      <c r="AY345" s="7"/>
      <c r="BE345" s="96"/>
      <c r="BF345" s="96"/>
      <c r="BG345" s="96"/>
      <c r="BH345" s="96"/>
      <c r="BI345" s="96"/>
      <c r="BJ345" s="7"/>
      <c r="BK345" s="96"/>
      <c r="BL345" s="7"/>
      <c r="BM345" s="95"/>
    </row>
    <row r="346" spans="2:65" s="1" customFormat="1" ht="24.2" customHeight="1">
      <c r="B346" s="83"/>
      <c r="C346" s="84">
        <v>190</v>
      </c>
      <c r="D346" s="84" t="s">
        <v>90</v>
      </c>
      <c r="E346" s="85" t="s">
        <v>909</v>
      </c>
      <c r="F346" s="86" t="s">
        <v>921</v>
      </c>
      <c r="G346" s="87" t="s">
        <v>160</v>
      </c>
      <c r="H346" s="88">
        <v>5</v>
      </c>
      <c r="I346" s="89"/>
      <c r="J346" s="89">
        <f t="shared" si="132"/>
        <v>0</v>
      </c>
      <c r="K346" s="90"/>
      <c r="L346" s="15"/>
      <c r="M346" s="91"/>
      <c r="N346" s="92"/>
      <c r="O346" s="93"/>
      <c r="P346" s="93"/>
      <c r="Q346" s="93"/>
      <c r="R346" s="93"/>
      <c r="S346" s="93"/>
      <c r="T346" s="94"/>
      <c r="V346" s="127" t="s">
        <v>956</v>
      </c>
      <c r="AR346" s="95"/>
      <c r="AT346" s="95"/>
      <c r="AU346" s="95"/>
      <c r="AY346" s="7"/>
      <c r="BE346" s="96"/>
      <c r="BF346" s="96"/>
      <c r="BG346" s="96"/>
      <c r="BH346" s="96"/>
      <c r="BI346" s="96"/>
      <c r="BJ346" s="7"/>
      <c r="BK346" s="96"/>
      <c r="BL346" s="7"/>
      <c r="BM346" s="95"/>
    </row>
    <row r="347" spans="2:65" s="1" customFormat="1" ht="24.2" customHeight="1">
      <c r="B347" s="83"/>
      <c r="C347" s="84">
        <v>191</v>
      </c>
      <c r="D347" s="84" t="s">
        <v>90</v>
      </c>
      <c r="E347" s="85" t="s">
        <v>910</v>
      </c>
      <c r="F347" s="86" t="s">
        <v>923</v>
      </c>
      <c r="G347" s="87" t="s">
        <v>160</v>
      </c>
      <c r="H347" s="88">
        <v>3</v>
      </c>
      <c r="I347" s="89"/>
      <c r="J347" s="89">
        <f t="shared" si="132"/>
        <v>0</v>
      </c>
      <c r="K347" s="90"/>
      <c r="L347" s="15"/>
      <c r="M347" s="91"/>
      <c r="N347" s="92"/>
      <c r="O347" s="93"/>
      <c r="P347" s="93"/>
      <c r="Q347" s="93"/>
      <c r="R347" s="93"/>
      <c r="S347" s="93"/>
      <c r="T347" s="94"/>
      <c r="V347" s="127" t="s">
        <v>956</v>
      </c>
      <c r="AR347" s="95"/>
      <c r="AT347" s="95"/>
      <c r="AU347" s="95"/>
      <c r="AY347" s="7"/>
      <c r="BE347" s="96"/>
      <c r="BF347" s="96"/>
      <c r="BG347" s="96"/>
      <c r="BH347" s="96"/>
      <c r="BI347" s="96"/>
      <c r="BJ347" s="7"/>
      <c r="BK347" s="96"/>
      <c r="BL347" s="7"/>
      <c r="BM347" s="95"/>
    </row>
    <row r="348" spans="2:65" s="1" customFormat="1" ht="24.2" customHeight="1">
      <c r="B348" s="83"/>
      <c r="C348" s="84">
        <v>192</v>
      </c>
      <c r="D348" s="84" t="s">
        <v>90</v>
      </c>
      <c r="E348" s="85" t="s">
        <v>911</v>
      </c>
      <c r="F348" s="86" t="s">
        <v>922</v>
      </c>
      <c r="G348" s="87" t="s">
        <v>160</v>
      </c>
      <c r="H348" s="88">
        <v>1</v>
      </c>
      <c r="I348" s="89"/>
      <c r="J348" s="89">
        <f t="shared" si="132"/>
        <v>0</v>
      </c>
      <c r="K348" s="90"/>
      <c r="L348" s="15"/>
      <c r="M348" s="91"/>
      <c r="N348" s="92"/>
      <c r="O348" s="93"/>
      <c r="P348" s="93"/>
      <c r="Q348" s="93"/>
      <c r="R348" s="93"/>
      <c r="S348" s="93"/>
      <c r="T348" s="94"/>
      <c r="V348" s="127" t="s">
        <v>956</v>
      </c>
      <c r="AR348" s="95"/>
      <c r="AT348" s="95"/>
      <c r="AU348" s="95"/>
      <c r="AY348" s="7"/>
      <c r="BE348" s="96"/>
      <c r="BF348" s="96"/>
      <c r="BG348" s="96"/>
      <c r="BH348" s="96"/>
      <c r="BI348" s="96"/>
      <c r="BJ348" s="7"/>
      <c r="BK348" s="96"/>
      <c r="BL348" s="7"/>
      <c r="BM348" s="95"/>
    </row>
    <row r="349" spans="2:65" s="1" customFormat="1" ht="24.2" customHeight="1">
      <c r="B349" s="83"/>
      <c r="C349" s="84">
        <v>193</v>
      </c>
      <c r="D349" s="84" t="s">
        <v>90</v>
      </c>
      <c r="E349" s="85" t="s">
        <v>912</v>
      </c>
      <c r="F349" s="86" t="s">
        <v>924</v>
      </c>
      <c r="G349" s="87" t="s">
        <v>160</v>
      </c>
      <c r="H349" s="88">
        <v>4</v>
      </c>
      <c r="I349" s="89"/>
      <c r="J349" s="89">
        <f t="shared" si="132"/>
        <v>0</v>
      </c>
      <c r="K349" s="90"/>
      <c r="L349" s="15"/>
      <c r="M349" s="91"/>
      <c r="N349" s="92"/>
      <c r="O349" s="93"/>
      <c r="P349" s="93"/>
      <c r="Q349" s="93"/>
      <c r="R349" s="93"/>
      <c r="S349" s="93"/>
      <c r="T349" s="94"/>
      <c r="V349" s="127" t="s">
        <v>956</v>
      </c>
      <c r="AR349" s="95"/>
      <c r="AT349" s="95"/>
      <c r="AU349" s="95"/>
      <c r="AY349" s="7"/>
      <c r="BE349" s="96"/>
      <c r="BF349" s="96"/>
      <c r="BG349" s="96"/>
      <c r="BH349" s="96"/>
      <c r="BI349" s="96"/>
      <c r="BJ349" s="7"/>
      <c r="BK349" s="96"/>
      <c r="BL349" s="7"/>
      <c r="BM349" s="95"/>
    </row>
    <row r="350" spans="2:65" s="1" customFormat="1" ht="24.2" customHeight="1">
      <c r="B350" s="83"/>
      <c r="C350" s="84">
        <v>194</v>
      </c>
      <c r="D350" s="84" t="s">
        <v>90</v>
      </c>
      <c r="E350" s="85" t="s">
        <v>913</v>
      </c>
      <c r="F350" s="86" t="s">
        <v>925</v>
      </c>
      <c r="G350" s="87" t="s">
        <v>160</v>
      </c>
      <c r="H350" s="88">
        <v>2</v>
      </c>
      <c r="I350" s="89"/>
      <c r="J350" s="89">
        <f t="shared" si="132"/>
        <v>0</v>
      </c>
      <c r="K350" s="90"/>
      <c r="L350" s="15"/>
      <c r="M350" s="91"/>
      <c r="N350" s="92"/>
      <c r="O350" s="93"/>
      <c r="P350" s="93"/>
      <c r="Q350" s="93"/>
      <c r="R350" s="93"/>
      <c r="S350" s="93"/>
      <c r="T350" s="94"/>
      <c r="V350" s="127" t="s">
        <v>956</v>
      </c>
      <c r="AR350" s="95"/>
      <c r="AT350" s="95"/>
      <c r="AU350" s="95"/>
      <c r="AY350" s="7"/>
      <c r="BE350" s="96"/>
      <c r="BF350" s="96"/>
      <c r="BG350" s="96"/>
      <c r="BH350" s="96"/>
      <c r="BI350" s="96"/>
      <c r="BJ350" s="7"/>
      <c r="BK350" s="96"/>
      <c r="BL350" s="7"/>
      <c r="BM350" s="95"/>
    </row>
    <row r="351" spans="2:65" s="1" customFormat="1" ht="24.2" customHeight="1">
      <c r="B351" s="83"/>
      <c r="C351" s="84">
        <v>195</v>
      </c>
      <c r="D351" s="84" t="s">
        <v>90</v>
      </c>
      <c r="E351" s="85" t="s">
        <v>914</v>
      </c>
      <c r="F351" s="86" t="s">
        <v>926</v>
      </c>
      <c r="G351" s="87" t="s">
        <v>160</v>
      </c>
      <c r="H351" s="88">
        <v>4</v>
      </c>
      <c r="I351" s="89"/>
      <c r="J351" s="89">
        <f t="shared" si="132"/>
        <v>0</v>
      </c>
      <c r="K351" s="90"/>
      <c r="L351" s="15"/>
      <c r="M351" s="91"/>
      <c r="N351" s="92"/>
      <c r="O351" s="93"/>
      <c r="P351" s="93"/>
      <c r="Q351" s="93"/>
      <c r="R351" s="93"/>
      <c r="S351" s="93"/>
      <c r="T351" s="94"/>
      <c r="V351" s="127" t="s">
        <v>956</v>
      </c>
      <c r="AR351" s="95"/>
      <c r="AT351" s="95"/>
      <c r="AU351" s="95"/>
      <c r="AY351" s="7"/>
      <c r="BE351" s="96"/>
      <c r="BF351" s="96"/>
      <c r="BG351" s="96"/>
      <c r="BH351" s="96"/>
      <c r="BI351" s="96"/>
      <c r="BJ351" s="7"/>
      <c r="BK351" s="96"/>
      <c r="BL351" s="7"/>
      <c r="BM351" s="95"/>
    </row>
    <row r="352" spans="2:65" s="1" customFormat="1" ht="24.2" customHeight="1">
      <c r="B352" s="83"/>
      <c r="C352" s="84">
        <v>196</v>
      </c>
      <c r="D352" s="84" t="s">
        <v>90</v>
      </c>
      <c r="E352" s="85" t="s">
        <v>915</v>
      </c>
      <c r="F352" s="86" t="s">
        <v>927</v>
      </c>
      <c r="G352" s="87" t="s">
        <v>160</v>
      </c>
      <c r="H352" s="88">
        <v>2</v>
      </c>
      <c r="I352" s="89"/>
      <c r="J352" s="89">
        <f t="shared" si="132"/>
        <v>0</v>
      </c>
      <c r="K352" s="90"/>
      <c r="L352" s="15"/>
      <c r="M352" s="91"/>
      <c r="N352" s="92"/>
      <c r="O352" s="93"/>
      <c r="P352" s="93"/>
      <c r="Q352" s="93"/>
      <c r="R352" s="93"/>
      <c r="S352" s="93"/>
      <c r="T352" s="94"/>
      <c r="V352" s="127" t="s">
        <v>956</v>
      </c>
      <c r="AR352" s="95"/>
      <c r="AT352" s="95"/>
      <c r="AU352" s="95"/>
      <c r="AY352" s="7"/>
      <c r="BE352" s="96"/>
      <c r="BF352" s="96"/>
      <c r="BG352" s="96"/>
      <c r="BH352" s="96"/>
      <c r="BI352" s="96"/>
      <c r="BJ352" s="7"/>
      <c r="BK352" s="96"/>
      <c r="BL352" s="7"/>
      <c r="BM352" s="95"/>
    </row>
    <row r="353" spans="2:65" s="1" customFormat="1" ht="24.2" customHeight="1">
      <c r="B353" s="83"/>
      <c r="C353" s="84">
        <v>197</v>
      </c>
      <c r="D353" s="84" t="s">
        <v>90</v>
      </c>
      <c r="E353" s="85" t="s">
        <v>916</v>
      </c>
      <c r="F353" s="86" t="s">
        <v>928</v>
      </c>
      <c r="G353" s="87" t="s">
        <v>160</v>
      </c>
      <c r="H353" s="88">
        <v>4</v>
      </c>
      <c r="I353" s="89"/>
      <c r="J353" s="89">
        <f t="shared" si="132"/>
        <v>0</v>
      </c>
      <c r="K353" s="90"/>
      <c r="L353" s="15"/>
      <c r="M353" s="91"/>
      <c r="N353" s="92"/>
      <c r="O353" s="93"/>
      <c r="P353" s="93"/>
      <c r="Q353" s="93"/>
      <c r="R353" s="93"/>
      <c r="S353" s="93"/>
      <c r="T353" s="94"/>
      <c r="V353" s="127" t="s">
        <v>956</v>
      </c>
      <c r="AR353" s="95"/>
      <c r="AT353" s="95"/>
      <c r="AU353" s="95"/>
      <c r="AY353" s="7"/>
      <c r="BE353" s="96"/>
      <c r="BF353" s="96"/>
      <c r="BG353" s="96"/>
      <c r="BH353" s="96"/>
      <c r="BI353" s="96"/>
      <c r="BJ353" s="7"/>
      <c r="BK353" s="96"/>
      <c r="BL353" s="7"/>
      <c r="BM353" s="95"/>
    </row>
    <row r="354" spans="2:65" s="1" customFormat="1" ht="24.2" customHeight="1">
      <c r="B354" s="83"/>
      <c r="C354" s="84">
        <v>198</v>
      </c>
      <c r="D354" s="84" t="s">
        <v>90</v>
      </c>
      <c r="E354" s="85" t="s">
        <v>917</v>
      </c>
      <c r="F354" s="86" t="s">
        <v>930</v>
      </c>
      <c r="G354" s="87" t="s">
        <v>160</v>
      </c>
      <c r="H354" s="88">
        <v>3</v>
      </c>
      <c r="I354" s="89"/>
      <c r="J354" s="89">
        <f t="shared" ref="J354" si="133">ROUND(I354*H354,2)</f>
        <v>0</v>
      </c>
      <c r="K354" s="90"/>
      <c r="L354" s="15"/>
      <c r="M354" s="91"/>
      <c r="N354" s="92"/>
      <c r="O354" s="93"/>
      <c r="P354" s="93"/>
      <c r="Q354" s="93"/>
      <c r="R354" s="93"/>
      <c r="S354" s="93"/>
      <c r="T354" s="94"/>
      <c r="V354" s="127" t="s">
        <v>956</v>
      </c>
      <c r="AR354" s="95"/>
      <c r="AT354" s="95"/>
      <c r="AU354" s="95"/>
      <c r="AY354" s="7"/>
      <c r="BE354" s="96"/>
      <c r="BF354" s="96"/>
      <c r="BG354" s="96"/>
      <c r="BH354" s="96"/>
      <c r="BI354" s="96"/>
      <c r="BJ354" s="7"/>
      <c r="BK354" s="96"/>
      <c r="BL354" s="7"/>
      <c r="BM354" s="95"/>
    </row>
    <row r="355" spans="2:65" s="1" customFormat="1" ht="24.2" customHeight="1">
      <c r="B355" s="83"/>
      <c r="C355" s="84">
        <v>199</v>
      </c>
      <c r="D355" s="84" t="s">
        <v>90</v>
      </c>
      <c r="E355" s="85" t="s">
        <v>929</v>
      </c>
      <c r="F355" s="86" t="s">
        <v>931</v>
      </c>
      <c r="G355" s="87" t="s">
        <v>160</v>
      </c>
      <c r="H355" s="88">
        <v>1</v>
      </c>
      <c r="I355" s="89"/>
      <c r="J355" s="89">
        <f t="shared" ref="J355" si="134">ROUND(I355*H355,2)</f>
        <v>0</v>
      </c>
      <c r="K355" s="90"/>
      <c r="L355" s="15"/>
      <c r="M355" s="91" t="s">
        <v>0</v>
      </c>
      <c r="N355" s="92" t="s">
        <v>23</v>
      </c>
      <c r="O355" s="93">
        <v>0.96487000000000001</v>
      </c>
      <c r="P355" s="93">
        <f t="shared" si="122"/>
        <v>0.96487000000000001</v>
      </c>
      <c r="Q355" s="93">
        <v>1.2249E-4</v>
      </c>
      <c r="R355" s="93">
        <f t="shared" si="123"/>
        <v>1.2249E-4</v>
      </c>
      <c r="S355" s="93">
        <v>0</v>
      </c>
      <c r="T355" s="94">
        <f t="shared" si="124"/>
        <v>0</v>
      </c>
      <c r="V355" s="127" t="s">
        <v>956</v>
      </c>
      <c r="AR355" s="95" t="s">
        <v>147</v>
      </c>
      <c r="AT355" s="95" t="s">
        <v>90</v>
      </c>
      <c r="AU355" s="95" t="s">
        <v>94</v>
      </c>
      <c r="AY355" s="7" t="s">
        <v>88</v>
      </c>
      <c r="BE355" s="96">
        <f t="shared" si="125"/>
        <v>0</v>
      </c>
      <c r="BF355" s="96">
        <f t="shared" si="126"/>
        <v>0</v>
      </c>
      <c r="BG355" s="96">
        <f t="shared" si="127"/>
        <v>0</v>
      </c>
      <c r="BH355" s="96">
        <f t="shared" si="128"/>
        <v>0</v>
      </c>
      <c r="BI355" s="96">
        <f t="shared" si="129"/>
        <v>0</v>
      </c>
      <c r="BJ355" s="7" t="s">
        <v>94</v>
      </c>
      <c r="BK355" s="96">
        <f t="shared" si="130"/>
        <v>0</v>
      </c>
      <c r="BL355" s="7" t="s">
        <v>147</v>
      </c>
      <c r="BM355" s="95" t="s">
        <v>649</v>
      </c>
    </row>
    <row r="356" spans="2:65" s="1" customFormat="1" ht="24.2" customHeight="1">
      <c r="B356" s="83"/>
      <c r="C356" s="84">
        <v>200</v>
      </c>
      <c r="D356" s="84" t="s">
        <v>90</v>
      </c>
      <c r="E356" s="85" t="s">
        <v>650</v>
      </c>
      <c r="F356" s="86" t="s">
        <v>651</v>
      </c>
      <c r="G356" s="87" t="s">
        <v>394</v>
      </c>
      <c r="H356" s="88">
        <v>896.54600000000005</v>
      </c>
      <c r="I356" s="89"/>
      <c r="J356" s="89">
        <f t="shared" si="121"/>
        <v>0</v>
      </c>
      <c r="K356" s="90"/>
      <c r="L356" s="15"/>
      <c r="M356" s="91" t="s">
        <v>0</v>
      </c>
      <c r="N356" s="92" t="s">
        <v>23</v>
      </c>
      <c r="O356" s="93">
        <v>0</v>
      </c>
      <c r="P356" s="93">
        <f t="shared" si="122"/>
        <v>0</v>
      </c>
      <c r="Q356" s="93">
        <v>0</v>
      </c>
      <c r="R356" s="93">
        <f t="shared" si="123"/>
        <v>0</v>
      </c>
      <c r="S356" s="93">
        <v>0</v>
      </c>
      <c r="T356" s="94">
        <f t="shared" si="124"/>
        <v>0</v>
      </c>
      <c r="V356" s="127" t="s">
        <v>956</v>
      </c>
      <c r="AR356" s="95" t="s">
        <v>147</v>
      </c>
      <c r="AT356" s="95" t="s">
        <v>90</v>
      </c>
      <c r="AU356" s="95" t="s">
        <v>94</v>
      </c>
      <c r="AY356" s="7" t="s">
        <v>88</v>
      </c>
      <c r="BE356" s="96">
        <f t="shared" si="125"/>
        <v>0</v>
      </c>
      <c r="BF356" s="96">
        <f t="shared" si="126"/>
        <v>0</v>
      </c>
      <c r="BG356" s="96">
        <f t="shared" si="127"/>
        <v>0</v>
      </c>
      <c r="BH356" s="96">
        <f t="shared" si="128"/>
        <v>0</v>
      </c>
      <c r="BI356" s="96">
        <f t="shared" si="129"/>
        <v>0</v>
      </c>
      <c r="BJ356" s="7" t="s">
        <v>94</v>
      </c>
      <c r="BK356" s="96">
        <f t="shared" si="130"/>
        <v>0</v>
      </c>
      <c r="BL356" s="7" t="s">
        <v>147</v>
      </c>
      <c r="BM356" s="95" t="s">
        <v>652</v>
      </c>
    </row>
    <row r="357" spans="2:65" s="6" customFormat="1" ht="22.9" customHeight="1">
      <c r="B357" s="72"/>
      <c r="D357" s="73" t="s">
        <v>39</v>
      </c>
      <c r="E357" s="81" t="s">
        <v>653</v>
      </c>
      <c r="F357" s="81" t="s">
        <v>654</v>
      </c>
      <c r="J357" s="82">
        <f>SUM(J358:J406)</f>
        <v>0</v>
      </c>
      <c r="L357" s="72"/>
      <c r="M357" s="76"/>
      <c r="P357" s="77">
        <f>SUM(P358:P406)</f>
        <v>87.006359999999972</v>
      </c>
      <c r="R357" s="77">
        <f>SUM(R358:R406)</f>
        <v>1.2909999999999998E-2</v>
      </c>
      <c r="T357" s="78">
        <f>SUM(T358:T406)</f>
        <v>3.85E-2</v>
      </c>
      <c r="AR357" s="73" t="s">
        <v>94</v>
      </c>
      <c r="AT357" s="79" t="s">
        <v>39</v>
      </c>
      <c r="AU357" s="79" t="s">
        <v>41</v>
      </c>
      <c r="AY357" s="73" t="s">
        <v>88</v>
      </c>
      <c r="BK357" s="80">
        <f>SUM(BK358:BK406)</f>
        <v>0</v>
      </c>
    </row>
    <row r="358" spans="2:65" s="1" customFormat="1" ht="51" customHeight="1">
      <c r="B358" s="83"/>
      <c r="C358" s="84">
        <v>201</v>
      </c>
      <c r="D358" s="84" t="s">
        <v>90</v>
      </c>
      <c r="E358" s="85" t="s">
        <v>655</v>
      </c>
      <c r="F358" s="108" t="s">
        <v>865</v>
      </c>
      <c r="G358" s="87" t="s">
        <v>145</v>
      </c>
      <c r="H358" s="88">
        <v>2.5</v>
      </c>
      <c r="I358" s="89"/>
      <c r="J358" s="89">
        <f t="shared" ref="J358:J385" si="135">ROUND(I358*H358,2)</f>
        <v>0</v>
      </c>
      <c r="K358" s="90"/>
      <c r="L358" s="15"/>
      <c r="M358" s="91" t="s">
        <v>0</v>
      </c>
      <c r="N358" s="92" t="s">
        <v>23</v>
      </c>
      <c r="O358" s="93">
        <v>0.27200000000000002</v>
      </c>
      <c r="P358" s="93">
        <f t="shared" ref="P358:P385" si="136">O358*H358</f>
        <v>0.68</v>
      </c>
      <c r="Q358" s="93">
        <v>0</v>
      </c>
      <c r="R358" s="93">
        <f t="shared" ref="R358:R385" si="137">Q358*H358</f>
        <v>0</v>
      </c>
      <c r="S358" s="93">
        <v>0</v>
      </c>
      <c r="T358" s="94">
        <f t="shared" ref="T358:T385" si="138">S358*H358</f>
        <v>0</v>
      </c>
      <c r="V358" s="127" t="s">
        <v>956</v>
      </c>
      <c r="AR358" s="95" t="s">
        <v>147</v>
      </c>
      <c r="AT358" s="95" t="s">
        <v>90</v>
      </c>
      <c r="AU358" s="95" t="s">
        <v>94</v>
      </c>
      <c r="AY358" s="7" t="s">
        <v>88</v>
      </c>
      <c r="BE358" s="96">
        <f t="shared" ref="BE358:BE385" si="139">IF(N358="základná",J358,0)</f>
        <v>0</v>
      </c>
      <c r="BF358" s="96">
        <f t="shared" ref="BF358:BF385" si="140">IF(N358="znížená",J358,0)</f>
        <v>0</v>
      </c>
      <c r="BG358" s="96">
        <f t="shared" ref="BG358:BG385" si="141">IF(N358="zákl. prenesená",J358,0)</f>
        <v>0</v>
      </c>
      <c r="BH358" s="96">
        <f t="shared" ref="BH358:BH385" si="142">IF(N358="zníž. prenesená",J358,0)</f>
        <v>0</v>
      </c>
      <c r="BI358" s="96">
        <f t="shared" ref="BI358:BI385" si="143">IF(N358="nulová",J358,0)</f>
        <v>0</v>
      </c>
      <c r="BJ358" s="7" t="s">
        <v>94</v>
      </c>
      <c r="BK358" s="96">
        <f t="shared" ref="BK358:BK385" si="144">ROUND(I358*H358,2)</f>
        <v>0</v>
      </c>
      <c r="BL358" s="7" t="s">
        <v>147</v>
      </c>
      <c r="BM358" s="95" t="s">
        <v>656</v>
      </c>
    </row>
    <row r="359" spans="2:65" s="1" customFormat="1" ht="51.95" customHeight="1">
      <c r="B359" s="83"/>
      <c r="C359" s="84">
        <v>202</v>
      </c>
      <c r="D359" s="84" t="s">
        <v>90</v>
      </c>
      <c r="E359" s="85" t="s">
        <v>657</v>
      </c>
      <c r="F359" s="108" t="s">
        <v>864</v>
      </c>
      <c r="G359" s="87" t="s">
        <v>145</v>
      </c>
      <c r="H359" s="88">
        <v>1.7</v>
      </c>
      <c r="I359" s="89"/>
      <c r="J359" s="89">
        <f t="shared" si="135"/>
        <v>0</v>
      </c>
      <c r="K359" s="90"/>
      <c r="L359" s="15"/>
      <c r="M359" s="91" t="s">
        <v>0</v>
      </c>
      <c r="N359" s="92" t="s">
        <v>23</v>
      </c>
      <c r="O359" s="93">
        <v>0.27200000000000002</v>
      </c>
      <c r="P359" s="93">
        <f t="shared" si="136"/>
        <v>0.46240000000000003</v>
      </c>
      <c r="Q359" s="93">
        <v>0</v>
      </c>
      <c r="R359" s="93">
        <f t="shared" si="137"/>
        <v>0</v>
      </c>
      <c r="S359" s="93">
        <v>0</v>
      </c>
      <c r="T359" s="94">
        <f t="shared" si="138"/>
        <v>0</v>
      </c>
      <c r="V359" s="127" t="s">
        <v>956</v>
      </c>
      <c r="AR359" s="95" t="s">
        <v>147</v>
      </c>
      <c r="AT359" s="95" t="s">
        <v>90</v>
      </c>
      <c r="AU359" s="95" t="s">
        <v>94</v>
      </c>
      <c r="AY359" s="7" t="s">
        <v>88</v>
      </c>
      <c r="BE359" s="96">
        <f t="shared" si="139"/>
        <v>0</v>
      </c>
      <c r="BF359" s="96">
        <f t="shared" si="140"/>
        <v>0</v>
      </c>
      <c r="BG359" s="96">
        <f t="shared" si="141"/>
        <v>0</v>
      </c>
      <c r="BH359" s="96">
        <f t="shared" si="142"/>
        <v>0</v>
      </c>
      <c r="BI359" s="96">
        <f t="shared" si="143"/>
        <v>0</v>
      </c>
      <c r="BJ359" s="7" t="s">
        <v>94</v>
      </c>
      <c r="BK359" s="96">
        <f t="shared" si="144"/>
        <v>0</v>
      </c>
      <c r="BL359" s="7" t="s">
        <v>147</v>
      </c>
      <c r="BM359" s="95" t="s">
        <v>658</v>
      </c>
    </row>
    <row r="360" spans="2:65" s="1" customFormat="1" ht="50.1" customHeight="1">
      <c r="B360" s="83"/>
      <c r="C360" s="84">
        <v>203</v>
      </c>
      <c r="D360" s="84" t="s">
        <v>90</v>
      </c>
      <c r="E360" s="85" t="s">
        <v>659</v>
      </c>
      <c r="F360" s="108" t="s">
        <v>866</v>
      </c>
      <c r="G360" s="87" t="s">
        <v>145</v>
      </c>
      <c r="H360" s="88">
        <v>2.1</v>
      </c>
      <c r="I360" s="89"/>
      <c r="J360" s="89">
        <f t="shared" si="135"/>
        <v>0</v>
      </c>
      <c r="K360" s="90"/>
      <c r="L360" s="15"/>
      <c r="M360" s="91" t="s">
        <v>0</v>
      </c>
      <c r="N360" s="92" t="s">
        <v>23</v>
      </c>
      <c r="O360" s="93">
        <v>0.27200000000000002</v>
      </c>
      <c r="P360" s="93">
        <f t="shared" si="136"/>
        <v>0.57120000000000004</v>
      </c>
      <c r="Q360" s="93">
        <v>0</v>
      </c>
      <c r="R360" s="93">
        <f t="shared" si="137"/>
        <v>0</v>
      </c>
      <c r="S360" s="93">
        <v>0</v>
      </c>
      <c r="T360" s="94">
        <f t="shared" si="138"/>
        <v>0</v>
      </c>
      <c r="V360" s="127" t="s">
        <v>956</v>
      </c>
      <c r="AR360" s="95" t="s">
        <v>147</v>
      </c>
      <c r="AT360" s="95" t="s">
        <v>90</v>
      </c>
      <c r="AU360" s="95" t="s">
        <v>94</v>
      </c>
      <c r="AY360" s="7" t="s">
        <v>88</v>
      </c>
      <c r="BE360" s="96">
        <f t="shared" si="139"/>
        <v>0</v>
      </c>
      <c r="BF360" s="96">
        <f t="shared" si="140"/>
        <v>0</v>
      </c>
      <c r="BG360" s="96">
        <f t="shared" si="141"/>
        <v>0</v>
      </c>
      <c r="BH360" s="96">
        <f t="shared" si="142"/>
        <v>0</v>
      </c>
      <c r="BI360" s="96">
        <f t="shared" si="143"/>
        <v>0</v>
      </c>
      <c r="BJ360" s="7" t="s">
        <v>94</v>
      </c>
      <c r="BK360" s="96">
        <f t="shared" si="144"/>
        <v>0</v>
      </c>
      <c r="BL360" s="7" t="s">
        <v>147</v>
      </c>
      <c r="BM360" s="95" t="s">
        <v>660</v>
      </c>
    </row>
    <row r="361" spans="2:65" s="1" customFormat="1" ht="48.6" customHeight="1">
      <c r="B361" s="83"/>
      <c r="C361" s="84">
        <v>204</v>
      </c>
      <c r="D361" s="84" t="s">
        <v>90</v>
      </c>
      <c r="E361" s="85" t="s">
        <v>661</v>
      </c>
      <c r="F361" s="108" t="s">
        <v>867</v>
      </c>
      <c r="G361" s="109" t="s">
        <v>160</v>
      </c>
      <c r="H361" s="88">
        <v>1</v>
      </c>
      <c r="I361" s="89"/>
      <c r="J361" s="89">
        <f t="shared" si="135"/>
        <v>0</v>
      </c>
      <c r="K361" s="90"/>
      <c r="L361" s="15"/>
      <c r="M361" s="91" t="s">
        <v>0</v>
      </c>
      <c r="N361" s="92" t="s">
        <v>23</v>
      </c>
      <c r="O361" s="93">
        <v>0.27200000000000002</v>
      </c>
      <c r="P361" s="93">
        <f t="shared" si="136"/>
        <v>0.27200000000000002</v>
      </c>
      <c r="Q361" s="93">
        <v>0</v>
      </c>
      <c r="R361" s="93">
        <f t="shared" si="137"/>
        <v>0</v>
      </c>
      <c r="S361" s="93">
        <v>0</v>
      </c>
      <c r="T361" s="94">
        <f t="shared" si="138"/>
        <v>0</v>
      </c>
      <c r="V361" s="120" t="s">
        <v>948</v>
      </c>
      <c r="AR361" s="95" t="s">
        <v>147</v>
      </c>
      <c r="AT361" s="95" t="s">
        <v>90</v>
      </c>
      <c r="AU361" s="95" t="s">
        <v>94</v>
      </c>
      <c r="AY361" s="7" t="s">
        <v>88</v>
      </c>
      <c r="BE361" s="96">
        <f t="shared" si="139"/>
        <v>0</v>
      </c>
      <c r="BF361" s="96">
        <f t="shared" si="140"/>
        <v>0</v>
      </c>
      <c r="BG361" s="96">
        <f t="shared" si="141"/>
        <v>0</v>
      </c>
      <c r="BH361" s="96">
        <f t="shared" si="142"/>
        <v>0</v>
      </c>
      <c r="BI361" s="96">
        <f t="shared" si="143"/>
        <v>0</v>
      </c>
      <c r="BJ361" s="7" t="s">
        <v>94</v>
      </c>
      <c r="BK361" s="96">
        <f t="shared" si="144"/>
        <v>0</v>
      </c>
      <c r="BL361" s="7" t="s">
        <v>147</v>
      </c>
      <c r="BM361" s="95" t="s">
        <v>662</v>
      </c>
    </row>
    <row r="362" spans="2:65" s="1" customFormat="1" ht="49.15" customHeight="1">
      <c r="B362" s="83"/>
      <c r="C362" s="84">
        <v>205</v>
      </c>
      <c r="D362" s="84" t="s">
        <v>90</v>
      </c>
      <c r="E362" s="85" t="s">
        <v>663</v>
      </c>
      <c r="F362" s="108" t="s">
        <v>868</v>
      </c>
      <c r="G362" s="87" t="s">
        <v>160</v>
      </c>
      <c r="H362" s="88">
        <v>1</v>
      </c>
      <c r="I362" s="89"/>
      <c r="J362" s="89">
        <f t="shared" si="135"/>
        <v>0</v>
      </c>
      <c r="K362" s="90"/>
      <c r="L362" s="15"/>
      <c r="M362" s="91" t="s">
        <v>0</v>
      </c>
      <c r="N362" s="92" t="s">
        <v>23</v>
      </c>
      <c r="O362" s="93">
        <v>0.27200000000000002</v>
      </c>
      <c r="P362" s="93">
        <f t="shared" si="136"/>
        <v>0.27200000000000002</v>
      </c>
      <c r="Q362" s="93">
        <v>0</v>
      </c>
      <c r="R362" s="93">
        <f t="shared" si="137"/>
        <v>0</v>
      </c>
      <c r="S362" s="93">
        <v>0</v>
      </c>
      <c r="T362" s="94">
        <f t="shared" si="138"/>
        <v>0</v>
      </c>
      <c r="V362" s="120" t="s">
        <v>948</v>
      </c>
      <c r="AR362" s="95" t="s">
        <v>147</v>
      </c>
      <c r="AT362" s="95" t="s">
        <v>90</v>
      </c>
      <c r="AU362" s="95" t="s">
        <v>94</v>
      </c>
      <c r="AY362" s="7" t="s">
        <v>88</v>
      </c>
      <c r="BE362" s="96">
        <f t="shared" si="139"/>
        <v>0</v>
      </c>
      <c r="BF362" s="96">
        <f t="shared" si="140"/>
        <v>0</v>
      </c>
      <c r="BG362" s="96">
        <f t="shared" si="141"/>
        <v>0</v>
      </c>
      <c r="BH362" s="96">
        <f t="shared" si="142"/>
        <v>0</v>
      </c>
      <c r="BI362" s="96">
        <f t="shared" si="143"/>
        <v>0</v>
      </c>
      <c r="BJ362" s="7" t="s">
        <v>94</v>
      </c>
      <c r="BK362" s="96">
        <f t="shared" si="144"/>
        <v>0</v>
      </c>
      <c r="BL362" s="7" t="s">
        <v>147</v>
      </c>
      <c r="BM362" s="95" t="s">
        <v>664</v>
      </c>
    </row>
    <row r="363" spans="2:65" s="1" customFormat="1" ht="75.95" customHeight="1">
      <c r="B363" s="83"/>
      <c r="C363" s="84">
        <v>206</v>
      </c>
      <c r="D363" s="84" t="s">
        <v>90</v>
      </c>
      <c r="E363" s="85" t="s">
        <v>665</v>
      </c>
      <c r="F363" s="108" t="s">
        <v>869</v>
      </c>
      <c r="G363" s="87" t="s">
        <v>160</v>
      </c>
      <c r="H363" s="88">
        <v>1</v>
      </c>
      <c r="I363" s="89"/>
      <c r="J363" s="89">
        <f t="shared" si="135"/>
        <v>0</v>
      </c>
      <c r="K363" s="90"/>
      <c r="L363" s="15"/>
      <c r="M363" s="91" t="s">
        <v>0</v>
      </c>
      <c r="N363" s="92" t="s">
        <v>23</v>
      </c>
      <c r="O363" s="93">
        <v>0.27200000000000002</v>
      </c>
      <c r="P363" s="93">
        <f t="shared" si="136"/>
        <v>0.27200000000000002</v>
      </c>
      <c r="Q363" s="93">
        <v>0</v>
      </c>
      <c r="R363" s="93">
        <f t="shared" si="137"/>
        <v>0</v>
      </c>
      <c r="S363" s="93">
        <v>0</v>
      </c>
      <c r="T363" s="94">
        <f t="shared" si="138"/>
        <v>0</v>
      </c>
      <c r="V363" s="120" t="s">
        <v>948</v>
      </c>
      <c r="AR363" s="95" t="s">
        <v>147</v>
      </c>
      <c r="AT363" s="95" t="s">
        <v>90</v>
      </c>
      <c r="AU363" s="95" t="s">
        <v>94</v>
      </c>
      <c r="AY363" s="7" t="s">
        <v>88</v>
      </c>
      <c r="BE363" s="96">
        <f t="shared" si="139"/>
        <v>0</v>
      </c>
      <c r="BF363" s="96">
        <f t="shared" si="140"/>
        <v>0</v>
      </c>
      <c r="BG363" s="96">
        <f t="shared" si="141"/>
        <v>0</v>
      </c>
      <c r="BH363" s="96">
        <f t="shared" si="142"/>
        <v>0</v>
      </c>
      <c r="BI363" s="96">
        <f t="shared" si="143"/>
        <v>0</v>
      </c>
      <c r="BJ363" s="7" t="s">
        <v>94</v>
      </c>
      <c r="BK363" s="96">
        <f t="shared" si="144"/>
        <v>0</v>
      </c>
      <c r="BL363" s="7" t="s">
        <v>147</v>
      </c>
      <c r="BM363" s="95" t="s">
        <v>666</v>
      </c>
    </row>
    <row r="364" spans="2:65" s="1" customFormat="1" ht="57.6" customHeight="1">
      <c r="B364" s="83"/>
      <c r="C364" s="84">
        <v>207</v>
      </c>
      <c r="D364" s="84" t="s">
        <v>90</v>
      </c>
      <c r="E364" s="85" t="s">
        <v>667</v>
      </c>
      <c r="F364" s="108" t="s">
        <v>870</v>
      </c>
      <c r="G364" s="87" t="s">
        <v>160</v>
      </c>
      <c r="H364" s="88">
        <v>1</v>
      </c>
      <c r="I364" s="89"/>
      <c r="J364" s="89">
        <f t="shared" si="135"/>
        <v>0</v>
      </c>
      <c r="K364" s="90"/>
      <c r="L364" s="15"/>
      <c r="M364" s="91" t="s">
        <v>0</v>
      </c>
      <c r="N364" s="92" t="s">
        <v>23</v>
      </c>
      <c r="O364" s="93">
        <v>0.27200000000000002</v>
      </c>
      <c r="P364" s="93">
        <f t="shared" si="136"/>
        <v>0.27200000000000002</v>
      </c>
      <c r="Q364" s="93">
        <v>0</v>
      </c>
      <c r="R364" s="93">
        <f t="shared" si="137"/>
        <v>0</v>
      </c>
      <c r="S364" s="93">
        <v>0</v>
      </c>
      <c r="T364" s="94">
        <f t="shared" si="138"/>
        <v>0</v>
      </c>
      <c r="V364" s="120" t="s">
        <v>948</v>
      </c>
      <c r="AR364" s="95" t="s">
        <v>147</v>
      </c>
      <c r="AT364" s="95" t="s">
        <v>90</v>
      </c>
      <c r="AU364" s="95" t="s">
        <v>94</v>
      </c>
      <c r="AY364" s="7" t="s">
        <v>88</v>
      </c>
      <c r="BE364" s="96">
        <f t="shared" si="139"/>
        <v>0</v>
      </c>
      <c r="BF364" s="96">
        <f t="shared" si="140"/>
        <v>0</v>
      </c>
      <c r="BG364" s="96">
        <f t="shared" si="141"/>
        <v>0</v>
      </c>
      <c r="BH364" s="96">
        <f t="shared" si="142"/>
        <v>0</v>
      </c>
      <c r="BI364" s="96">
        <f t="shared" si="143"/>
        <v>0</v>
      </c>
      <c r="BJ364" s="7" t="s">
        <v>94</v>
      </c>
      <c r="BK364" s="96">
        <f t="shared" si="144"/>
        <v>0</v>
      </c>
      <c r="BL364" s="7" t="s">
        <v>147</v>
      </c>
      <c r="BM364" s="95" t="s">
        <v>668</v>
      </c>
    </row>
    <row r="365" spans="2:65" s="1" customFormat="1" ht="68.45" customHeight="1">
      <c r="B365" s="83"/>
      <c r="C365" s="84">
        <v>208</v>
      </c>
      <c r="D365" s="84" t="s">
        <v>90</v>
      </c>
      <c r="E365" s="85" t="s">
        <v>669</v>
      </c>
      <c r="F365" s="108" t="s">
        <v>871</v>
      </c>
      <c r="G365" s="87" t="s">
        <v>145</v>
      </c>
      <c r="H365" s="88">
        <f>1.6+2.4</f>
        <v>4</v>
      </c>
      <c r="I365" s="89"/>
      <c r="J365" s="89">
        <f t="shared" si="135"/>
        <v>0</v>
      </c>
      <c r="K365" s="90"/>
      <c r="L365" s="15"/>
      <c r="M365" s="91" t="s">
        <v>0</v>
      </c>
      <c r="N365" s="92" t="s">
        <v>23</v>
      </c>
      <c r="O365" s="93">
        <v>0.27200000000000002</v>
      </c>
      <c r="P365" s="93">
        <f t="shared" si="136"/>
        <v>1.0880000000000001</v>
      </c>
      <c r="Q365" s="93">
        <v>0</v>
      </c>
      <c r="R365" s="93">
        <f t="shared" si="137"/>
        <v>0</v>
      </c>
      <c r="S365" s="93">
        <v>0</v>
      </c>
      <c r="T365" s="94">
        <f t="shared" si="138"/>
        <v>0</v>
      </c>
      <c r="V365" s="127" t="s">
        <v>956</v>
      </c>
      <c r="AR365" s="95" t="s">
        <v>147</v>
      </c>
      <c r="AT365" s="95" t="s">
        <v>90</v>
      </c>
      <c r="AU365" s="95" t="s">
        <v>94</v>
      </c>
      <c r="AY365" s="7" t="s">
        <v>88</v>
      </c>
      <c r="BE365" s="96">
        <f t="shared" si="139"/>
        <v>0</v>
      </c>
      <c r="BF365" s="96">
        <f t="shared" si="140"/>
        <v>0</v>
      </c>
      <c r="BG365" s="96">
        <f t="shared" si="141"/>
        <v>0</v>
      </c>
      <c r="BH365" s="96">
        <f t="shared" si="142"/>
        <v>0</v>
      </c>
      <c r="BI365" s="96">
        <f t="shared" si="143"/>
        <v>0</v>
      </c>
      <c r="BJ365" s="7" t="s">
        <v>94</v>
      </c>
      <c r="BK365" s="96">
        <f t="shared" si="144"/>
        <v>0</v>
      </c>
      <c r="BL365" s="7" t="s">
        <v>147</v>
      </c>
      <c r="BM365" s="95" t="s">
        <v>670</v>
      </c>
    </row>
    <row r="366" spans="2:65" s="1" customFormat="1" ht="49.15" customHeight="1">
      <c r="B366" s="83"/>
      <c r="C366" s="84">
        <v>209</v>
      </c>
      <c r="D366" s="84" t="s">
        <v>90</v>
      </c>
      <c r="E366" s="85" t="s">
        <v>671</v>
      </c>
      <c r="F366" s="108" t="s">
        <v>872</v>
      </c>
      <c r="G366" s="87" t="s">
        <v>145</v>
      </c>
      <c r="H366" s="88">
        <v>1.6</v>
      </c>
      <c r="I366" s="89"/>
      <c r="J366" s="89">
        <f t="shared" si="135"/>
        <v>0</v>
      </c>
      <c r="K366" s="90"/>
      <c r="L366" s="15"/>
      <c r="M366" s="91" t="s">
        <v>0</v>
      </c>
      <c r="N366" s="92" t="s">
        <v>23</v>
      </c>
      <c r="O366" s="93">
        <v>0.27200000000000002</v>
      </c>
      <c r="P366" s="93">
        <f t="shared" si="136"/>
        <v>0.43520000000000003</v>
      </c>
      <c r="Q366" s="93">
        <v>0</v>
      </c>
      <c r="R366" s="93">
        <f t="shared" si="137"/>
        <v>0</v>
      </c>
      <c r="S366" s="93">
        <v>0</v>
      </c>
      <c r="T366" s="94">
        <f t="shared" si="138"/>
        <v>0</v>
      </c>
      <c r="V366" s="127" t="s">
        <v>956</v>
      </c>
      <c r="AR366" s="95" t="s">
        <v>147</v>
      </c>
      <c r="AT366" s="95" t="s">
        <v>90</v>
      </c>
      <c r="AU366" s="95" t="s">
        <v>94</v>
      </c>
      <c r="AY366" s="7" t="s">
        <v>88</v>
      </c>
      <c r="BE366" s="96">
        <f t="shared" si="139"/>
        <v>0</v>
      </c>
      <c r="BF366" s="96">
        <f t="shared" si="140"/>
        <v>0</v>
      </c>
      <c r="BG366" s="96">
        <f t="shared" si="141"/>
        <v>0</v>
      </c>
      <c r="BH366" s="96">
        <f t="shared" si="142"/>
        <v>0</v>
      </c>
      <c r="BI366" s="96">
        <f t="shared" si="143"/>
        <v>0</v>
      </c>
      <c r="BJ366" s="7" t="s">
        <v>94</v>
      </c>
      <c r="BK366" s="96">
        <f t="shared" si="144"/>
        <v>0</v>
      </c>
      <c r="BL366" s="7" t="s">
        <v>147</v>
      </c>
      <c r="BM366" s="95" t="s">
        <v>672</v>
      </c>
    </row>
    <row r="367" spans="2:65" s="1" customFormat="1" ht="62.65" customHeight="1">
      <c r="B367" s="83"/>
      <c r="C367" s="84">
        <v>210</v>
      </c>
      <c r="D367" s="84" t="s">
        <v>90</v>
      </c>
      <c r="E367" s="85" t="s">
        <v>673</v>
      </c>
      <c r="F367" s="86" t="s">
        <v>873</v>
      </c>
      <c r="G367" s="87" t="s">
        <v>145</v>
      </c>
      <c r="H367" s="88">
        <v>6.5</v>
      </c>
      <c r="I367" s="89"/>
      <c r="J367" s="89">
        <f t="shared" si="135"/>
        <v>0</v>
      </c>
      <c r="K367" s="90"/>
      <c r="L367" s="15"/>
      <c r="M367" s="91" t="s">
        <v>0</v>
      </c>
      <c r="N367" s="92" t="s">
        <v>23</v>
      </c>
      <c r="O367" s="93">
        <v>0.27200000000000002</v>
      </c>
      <c r="P367" s="93">
        <f t="shared" si="136"/>
        <v>1.7680000000000002</v>
      </c>
      <c r="Q367" s="93">
        <v>0</v>
      </c>
      <c r="R367" s="93">
        <f t="shared" si="137"/>
        <v>0</v>
      </c>
      <c r="S367" s="93">
        <v>0</v>
      </c>
      <c r="T367" s="94">
        <f t="shared" si="138"/>
        <v>0</v>
      </c>
      <c r="V367" s="127" t="s">
        <v>956</v>
      </c>
      <c r="AR367" s="95" t="s">
        <v>147</v>
      </c>
      <c r="AT367" s="95" t="s">
        <v>90</v>
      </c>
      <c r="AU367" s="95" t="s">
        <v>94</v>
      </c>
      <c r="AY367" s="7" t="s">
        <v>88</v>
      </c>
      <c r="BE367" s="96">
        <f t="shared" si="139"/>
        <v>0</v>
      </c>
      <c r="BF367" s="96">
        <f t="shared" si="140"/>
        <v>0</v>
      </c>
      <c r="BG367" s="96">
        <f t="shared" si="141"/>
        <v>0</v>
      </c>
      <c r="BH367" s="96">
        <f t="shared" si="142"/>
        <v>0</v>
      </c>
      <c r="BI367" s="96">
        <f t="shared" si="143"/>
        <v>0</v>
      </c>
      <c r="BJ367" s="7" t="s">
        <v>94</v>
      </c>
      <c r="BK367" s="96">
        <f t="shared" si="144"/>
        <v>0</v>
      </c>
      <c r="BL367" s="7" t="s">
        <v>147</v>
      </c>
      <c r="BM367" s="95" t="s">
        <v>674</v>
      </c>
    </row>
    <row r="368" spans="2:65" s="1" customFormat="1" ht="49.15" customHeight="1">
      <c r="B368" s="83"/>
      <c r="C368" s="84">
        <v>211</v>
      </c>
      <c r="D368" s="84" t="s">
        <v>90</v>
      </c>
      <c r="E368" s="85" t="s">
        <v>675</v>
      </c>
      <c r="F368" s="86" t="s">
        <v>874</v>
      </c>
      <c r="G368" s="87" t="s">
        <v>145</v>
      </c>
      <c r="H368" s="88">
        <v>5.2</v>
      </c>
      <c r="I368" s="89"/>
      <c r="J368" s="89">
        <f t="shared" si="135"/>
        <v>0</v>
      </c>
      <c r="K368" s="90"/>
      <c r="L368" s="15"/>
      <c r="M368" s="91" t="s">
        <v>0</v>
      </c>
      <c r="N368" s="92" t="s">
        <v>23</v>
      </c>
      <c r="O368" s="93">
        <v>0.27200000000000002</v>
      </c>
      <c r="P368" s="93">
        <f t="shared" si="136"/>
        <v>1.4144000000000001</v>
      </c>
      <c r="Q368" s="93">
        <v>0</v>
      </c>
      <c r="R368" s="93">
        <f t="shared" si="137"/>
        <v>0</v>
      </c>
      <c r="S368" s="93">
        <v>0</v>
      </c>
      <c r="T368" s="94">
        <f t="shared" si="138"/>
        <v>0</v>
      </c>
      <c r="V368" s="127" t="s">
        <v>956</v>
      </c>
      <c r="AR368" s="95" t="s">
        <v>147</v>
      </c>
      <c r="AT368" s="95" t="s">
        <v>90</v>
      </c>
      <c r="AU368" s="95" t="s">
        <v>94</v>
      </c>
      <c r="AY368" s="7" t="s">
        <v>88</v>
      </c>
      <c r="BE368" s="96">
        <f t="shared" si="139"/>
        <v>0</v>
      </c>
      <c r="BF368" s="96">
        <f t="shared" si="140"/>
        <v>0</v>
      </c>
      <c r="BG368" s="96">
        <f t="shared" si="141"/>
        <v>0</v>
      </c>
      <c r="BH368" s="96">
        <f t="shared" si="142"/>
        <v>0</v>
      </c>
      <c r="BI368" s="96">
        <f t="shared" si="143"/>
        <v>0</v>
      </c>
      <c r="BJ368" s="7" t="s">
        <v>94</v>
      </c>
      <c r="BK368" s="96">
        <f t="shared" si="144"/>
        <v>0</v>
      </c>
      <c r="BL368" s="7" t="s">
        <v>147</v>
      </c>
      <c r="BM368" s="95" t="s">
        <v>676</v>
      </c>
    </row>
    <row r="369" spans="2:65" s="1" customFormat="1" ht="49.15" customHeight="1">
      <c r="B369" s="83"/>
      <c r="C369" s="84">
        <v>212</v>
      </c>
      <c r="D369" s="84" t="s">
        <v>90</v>
      </c>
      <c r="E369" s="85" t="s">
        <v>677</v>
      </c>
      <c r="F369" s="86" t="s">
        <v>875</v>
      </c>
      <c r="G369" s="87" t="s">
        <v>145</v>
      </c>
      <c r="H369" s="88">
        <v>2.4</v>
      </c>
      <c r="I369" s="89"/>
      <c r="J369" s="89">
        <f t="shared" si="135"/>
        <v>0</v>
      </c>
      <c r="K369" s="90"/>
      <c r="L369" s="15"/>
      <c r="M369" s="91" t="s">
        <v>0</v>
      </c>
      <c r="N369" s="92" t="s">
        <v>23</v>
      </c>
      <c r="O369" s="93">
        <v>0.27200000000000002</v>
      </c>
      <c r="P369" s="93">
        <f t="shared" si="136"/>
        <v>0.65280000000000005</v>
      </c>
      <c r="Q369" s="93">
        <v>0</v>
      </c>
      <c r="R369" s="93">
        <f t="shared" si="137"/>
        <v>0</v>
      </c>
      <c r="S369" s="93">
        <v>0</v>
      </c>
      <c r="T369" s="94">
        <f t="shared" si="138"/>
        <v>0</v>
      </c>
      <c r="V369" s="127" t="s">
        <v>956</v>
      </c>
      <c r="AR369" s="95" t="s">
        <v>147</v>
      </c>
      <c r="AT369" s="95" t="s">
        <v>90</v>
      </c>
      <c r="AU369" s="95" t="s">
        <v>94</v>
      </c>
      <c r="AY369" s="7" t="s">
        <v>88</v>
      </c>
      <c r="BE369" s="96">
        <f t="shared" si="139"/>
        <v>0</v>
      </c>
      <c r="BF369" s="96">
        <f t="shared" si="140"/>
        <v>0</v>
      </c>
      <c r="BG369" s="96">
        <f t="shared" si="141"/>
        <v>0</v>
      </c>
      <c r="BH369" s="96">
        <f t="shared" si="142"/>
        <v>0</v>
      </c>
      <c r="BI369" s="96">
        <f t="shared" si="143"/>
        <v>0</v>
      </c>
      <c r="BJ369" s="7" t="s">
        <v>94</v>
      </c>
      <c r="BK369" s="96">
        <f t="shared" si="144"/>
        <v>0</v>
      </c>
      <c r="BL369" s="7" t="s">
        <v>147</v>
      </c>
      <c r="BM369" s="95" t="s">
        <v>678</v>
      </c>
    </row>
    <row r="370" spans="2:65" s="1" customFormat="1" ht="46.5" customHeight="1">
      <c r="B370" s="83"/>
      <c r="C370" s="84">
        <v>213</v>
      </c>
      <c r="D370" s="84" t="s">
        <v>90</v>
      </c>
      <c r="E370" s="85" t="s">
        <v>679</v>
      </c>
      <c r="F370" s="86" t="s">
        <v>876</v>
      </c>
      <c r="G370" s="87" t="s">
        <v>145</v>
      </c>
      <c r="H370" s="88">
        <v>2.4</v>
      </c>
      <c r="I370" s="89"/>
      <c r="J370" s="89">
        <f t="shared" si="135"/>
        <v>0</v>
      </c>
      <c r="K370" s="90"/>
      <c r="L370" s="15"/>
      <c r="M370" s="91" t="s">
        <v>0</v>
      </c>
      <c r="N370" s="92" t="s">
        <v>23</v>
      </c>
      <c r="O370" s="93">
        <v>0.27200000000000002</v>
      </c>
      <c r="P370" s="93">
        <f t="shared" si="136"/>
        <v>0.65280000000000005</v>
      </c>
      <c r="Q370" s="93">
        <v>0</v>
      </c>
      <c r="R370" s="93">
        <f t="shared" si="137"/>
        <v>0</v>
      </c>
      <c r="S370" s="93">
        <v>0</v>
      </c>
      <c r="T370" s="94">
        <f t="shared" si="138"/>
        <v>0</v>
      </c>
      <c r="V370" s="127" t="s">
        <v>956</v>
      </c>
      <c r="AR370" s="95" t="s">
        <v>147</v>
      </c>
      <c r="AT370" s="95" t="s">
        <v>90</v>
      </c>
      <c r="AU370" s="95" t="s">
        <v>94</v>
      </c>
      <c r="AY370" s="7" t="s">
        <v>88</v>
      </c>
      <c r="BE370" s="96">
        <f t="shared" si="139"/>
        <v>0</v>
      </c>
      <c r="BF370" s="96">
        <f t="shared" si="140"/>
        <v>0</v>
      </c>
      <c r="BG370" s="96">
        <f t="shared" si="141"/>
        <v>0</v>
      </c>
      <c r="BH370" s="96">
        <f t="shared" si="142"/>
        <v>0</v>
      </c>
      <c r="BI370" s="96">
        <f t="shared" si="143"/>
        <v>0</v>
      </c>
      <c r="BJ370" s="7" t="s">
        <v>94</v>
      </c>
      <c r="BK370" s="96">
        <f t="shared" si="144"/>
        <v>0</v>
      </c>
      <c r="BL370" s="7" t="s">
        <v>147</v>
      </c>
      <c r="BM370" s="95" t="s">
        <v>680</v>
      </c>
    </row>
    <row r="371" spans="2:65" s="1" customFormat="1" ht="55.5" customHeight="1">
      <c r="B371" s="83"/>
      <c r="C371" s="84">
        <v>214</v>
      </c>
      <c r="D371" s="84" t="s">
        <v>90</v>
      </c>
      <c r="E371" s="85" t="s">
        <v>681</v>
      </c>
      <c r="F371" s="86" t="s">
        <v>877</v>
      </c>
      <c r="G371" s="87" t="s">
        <v>145</v>
      </c>
      <c r="H371" s="88">
        <v>10.1</v>
      </c>
      <c r="I371" s="89"/>
      <c r="J371" s="89">
        <f t="shared" si="135"/>
        <v>0</v>
      </c>
      <c r="K371" s="90"/>
      <c r="L371" s="15"/>
      <c r="M371" s="91" t="s">
        <v>0</v>
      </c>
      <c r="N371" s="92" t="s">
        <v>23</v>
      </c>
      <c r="O371" s="93">
        <v>0.27200000000000002</v>
      </c>
      <c r="P371" s="93">
        <f t="shared" si="136"/>
        <v>2.7472000000000003</v>
      </c>
      <c r="Q371" s="93">
        <v>0</v>
      </c>
      <c r="R371" s="93">
        <f t="shared" si="137"/>
        <v>0</v>
      </c>
      <c r="S371" s="93">
        <v>0</v>
      </c>
      <c r="T371" s="94">
        <f t="shared" si="138"/>
        <v>0</v>
      </c>
      <c r="V371" s="127" t="s">
        <v>956</v>
      </c>
      <c r="AR371" s="95" t="s">
        <v>147</v>
      </c>
      <c r="AT371" s="95" t="s">
        <v>90</v>
      </c>
      <c r="AU371" s="95" t="s">
        <v>94</v>
      </c>
      <c r="AY371" s="7" t="s">
        <v>88</v>
      </c>
      <c r="BE371" s="96">
        <f t="shared" si="139"/>
        <v>0</v>
      </c>
      <c r="BF371" s="96">
        <f t="shared" si="140"/>
        <v>0</v>
      </c>
      <c r="BG371" s="96">
        <f t="shared" si="141"/>
        <v>0</v>
      </c>
      <c r="BH371" s="96">
        <f t="shared" si="142"/>
        <v>0</v>
      </c>
      <c r="BI371" s="96">
        <f t="shared" si="143"/>
        <v>0</v>
      </c>
      <c r="BJ371" s="7" t="s">
        <v>94</v>
      </c>
      <c r="BK371" s="96">
        <f t="shared" si="144"/>
        <v>0</v>
      </c>
      <c r="BL371" s="7" t="s">
        <v>147</v>
      </c>
      <c r="BM371" s="95" t="s">
        <v>682</v>
      </c>
    </row>
    <row r="372" spans="2:65" s="1" customFormat="1" ht="58.5" customHeight="1">
      <c r="B372" s="83"/>
      <c r="C372" s="84">
        <v>215</v>
      </c>
      <c r="D372" s="84" t="s">
        <v>90</v>
      </c>
      <c r="E372" s="85" t="s">
        <v>683</v>
      </c>
      <c r="F372" s="86" t="s">
        <v>878</v>
      </c>
      <c r="G372" s="87" t="s">
        <v>145</v>
      </c>
      <c r="H372" s="148">
        <v>5.2</v>
      </c>
      <c r="I372" s="89"/>
      <c r="J372" s="89">
        <f t="shared" si="135"/>
        <v>0</v>
      </c>
      <c r="K372" s="90"/>
      <c r="L372" s="15"/>
      <c r="M372" s="91" t="s">
        <v>0</v>
      </c>
      <c r="N372" s="92" t="s">
        <v>23</v>
      </c>
      <c r="O372" s="93">
        <v>0.27200000000000002</v>
      </c>
      <c r="P372" s="93">
        <f t="shared" si="136"/>
        <v>1.4144000000000001</v>
      </c>
      <c r="Q372" s="93">
        <v>0</v>
      </c>
      <c r="R372" s="93">
        <f t="shared" si="137"/>
        <v>0</v>
      </c>
      <c r="S372" s="93">
        <v>0</v>
      </c>
      <c r="T372" s="94">
        <f t="shared" si="138"/>
        <v>0</v>
      </c>
      <c r="V372" s="127" t="s">
        <v>956</v>
      </c>
      <c r="AR372" s="95" t="s">
        <v>147</v>
      </c>
      <c r="AT372" s="95" t="s">
        <v>90</v>
      </c>
      <c r="AU372" s="95" t="s">
        <v>94</v>
      </c>
      <c r="AY372" s="7" t="s">
        <v>88</v>
      </c>
      <c r="BE372" s="96">
        <f t="shared" si="139"/>
        <v>0</v>
      </c>
      <c r="BF372" s="96">
        <f t="shared" si="140"/>
        <v>0</v>
      </c>
      <c r="BG372" s="96">
        <f t="shared" si="141"/>
        <v>0</v>
      </c>
      <c r="BH372" s="96">
        <f t="shared" si="142"/>
        <v>0</v>
      </c>
      <c r="BI372" s="96">
        <f t="shared" si="143"/>
        <v>0</v>
      </c>
      <c r="BJ372" s="7" t="s">
        <v>94</v>
      </c>
      <c r="BK372" s="96">
        <f t="shared" si="144"/>
        <v>0</v>
      </c>
      <c r="BL372" s="7" t="s">
        <v>147</v>
      </c>
      <c r="BM372" s="95" t="s">
        <v>684</v>
      </c>
    </row>
    <row r="373" spans="2:65" s="1" customFormat="1" ht="60.95" customHeight="1">
      <c r="B373" s="83"/>
      <c r="C373" s="84">
        <v>216</v>
      </c>
      <c r="D373" s="84" t="s">
        <v>90</v>
      </c>
      <c r="E373" s="85" t="s">
        <v>685</v>
      </c>
      <c r="F373" s="86" t="s">
        <v>879</v>
      </c>
      <c r="G373" s="87" t="s">
        <v>145</v>
      </c>
      <c r="H373" s="148">
        <v>4</v>
      </c>
      <c r="I373" s="89"/>
      <c r="J373" s="89">
        <f t="shared" si="135"/>
        <v>0</v>
      </c>
      <c r="K373" s="90"/>
      <c r="L373" s="15"/>
      <c r="M373" s="91" t="s">
        <v>0</v>
      </c>
      <c r="N373" s="92" t="s">
        <v>23</v>
      </c>
      <c r="O373" s="93">
        <v>0.27200000000000002</v>
      </c>
      <c r="P373" s="93">
        <f t="shared" si="136"/>
        <v>1.0880000000000001</v>
      </c>
      <c r="Q373" s="93">
        <v>0</v>
      </c>
      <c r="R373" s="93">
        <f t="shared" si="137"/>
        <v>0</v>
      </c>
      <c r="S373" s="93">
        <v>0</v>
      </c>
      <c r="T373" s="94">
        <f t="shared" si="138"/>
        <v>0</v>
      </c>
      <c r="V373" s="127" t="s">
        <v>956</v>
      </c>
      <c r="AR373" s="95" t="s">
        <v>147</v>
      </c>
      <c r="AT373" s="95" t="s">
        <v>90</v>
      </c>
      <c r="AU373" s="95" t="s">
        <v>94</v>
      </c>
      <c r="AY373" s="7" t="s">
        <v>88</v>
      </c>
      <c r="BE373" s="96">
        <f t="shared" si="139"/>
        <v>0</v>
      </c>
      <c r="BF373" s="96">
        <f t="shared" si="140"/>
        <v>0</v>
      </c>
      <c r="BG373" s="96">
        <f t="shared" si="141"/>
        <v>0</v>
      </c>
      <c r="BH373" s="96">
        <f t="shared" si="142"/>
        <v>0</v>
      </c>
      <c r="BI373" s="96">
        <f t="shared" si="143"/>
        <v>0</v>
      </c>
      <c r="BJ373" s="7" t="s">
        <v>94</v>
      </c>
      <c r="BK373" s="96">
        <f t="shared" si="144"/>
        <v>0</v>
      </c>
      <c r="BL373" s="7" t="s">
        <v>147</v>
      </c>
      <c r="BM373" s="95" t="s">
        <v>686</v>
      </c>
    </row>
    <row r="374" spans="2:65" s="1" customFormat="1" ht="65.45" customHeight="1">
      <c r="B374" s="83"/>
      <c r="C374" s="84">
        <v>217</v>
      </c>
      <c r="D374" s="84" t="s">
        <v>90</v>
      </c>
      <c r="E374" s="85" t="s">
        <v>687</v>
      </c>
      <c r="F374" s="86" t="s">
        <v>880</v>
      </c>
      <c r="G374" s="87" t="s">
        <v>145</v>
      </c>
      <c r="H374" s="88">
        <f>5.75+6.7</f>
        <v>12.45</v>
      </c>
      <c r="I374" s="89"/>
      <c r="J374" s="89">
        <f t="shared" si="135"/>
        <v>0</v>
      </c>
      <c r="K374" s="90"/>
      <c r="L374" s="15"/>
      <c r="M374" s="91" t="s">
        <v>0</v>
      </c>
      <c r="N374" s="92" t="s">
        <v>23</v>
      </c>
      <c r="O374" s="93">
        <v>0.27200000000000002</v>
      </c>
      <c r="P374" s="93">
        <f t="shared" si="136"/>
        <v>3.3864000000000001</v>
      </c>
      <c r="Q374" s="93">
        <v>0</v>
      </c>
      <c r="R374" s="93">
        <f t="shared" si="137"/>
        <v>0</v>
      </c>
      <c r="S374" s="93">
        <v>0</v>
      </c>
      <c r="T374" s="94">
        <f t="shared" si="138"/>
        <v>0</v>
      </c>
      <c r="V374" s="127" t="s">
        <v>956</v>
      </c>
      <c r="AR374" s="95" t="s">
        <v>147</v>
      </c>
      <c r="AT374" s="95" t="s">
        <v>90</v>
      </c>
      <c r="AU374" s="95" t="s">
        <v>94</v>
      </c>
      <c r="AY374" s="7" t="s">
        <v>88</v>
      </c>
      <c r="BE374" s="96">
        <f t="shared" si="139"/>
        <v>0</v>
      </c>
      <c r="BF374" s="96">
        <f t="shared" si="140"/>
        <v>0</v>
      </c>
      <c r="BG374" s="96">
        <f t="shared" si="141"/>
        <v>0</v>
      </c>
      <c r="BH374" s="96">
        <f t="shared" si="142"/>
        <v>0</v>
      </c>
      <c r="BI374" s="96">
        <f t="shared" si="143"/>
        <v>0</v>
      </c>
      <c r="BJ374" s="7" t="s">
        <v>94</v>
      </c>
      <c r="BK374" s="96">
        <f t="shared" si="144"/>
        <v>0</v>
      </c>
      <c r="BL374" s="7" t="s">
        <v>147</v>
      </c>
      <c r="BM374" s="95" t="s">
        <v>688</v>
      </c>
    </row>
    <row r="375" spans="2:65" s="1" customFormat="1" ht="60.95" customHeight="1">
      <c r="B375" s="83"/>
      <c r="C375" s="84">
        <v>218</v>
      </c>
      <c r="D375" s="84" t="s">
        <v>90</v>
      </c>
      <c r="E375" s="85" t="s">
        <v>689</v>
      </c>
      <c r="F375" s="86" t="s">
        <v>947</v>
      </c>
      <c r="G375" s="87" t="s">
        <v>145</v>
      </c>
      <c r="H375" s="88">
        <f>2.3+1.6</f>
        <v>3.9</v>
      </c>
      <c r="I375" s="89"/>
      <c r="J375" s="89">
        <f t="shared" si="135"/>
        <v>0</v>
      </c>
      <c r="K375" s="90"/>
      <c r="L375" s="15"/>
      <c r="M375" s="91" t="s">
        <v>0</v>
      </c>
      <c r="N375" s="92" t="s">
        <v>23</v>
      </c>
      <c r="O375" s="93">
        <v>0.27200000000000002</v>
      </c>
      <c r="P375" s="93">
        <f t="shared" si="136"/>
        <v>1.0608</v>
      </c>
      <c r="Q375" s="93">
        <v>0</v>
      </c>
      <c r="R375" s="93">
        <f t="shared" si="137"/>
        <v>0</v>
      </c>
      <c r="S375" s="93">
        <v>0</v>
      </c>
      <c r="T375" s="94">
        <f t="shared" si="138"/>
        <v>0</v>
      </c>
      <c r="V375" s="127" t="s">
        <v>956</v>
      </c>
      <c r="AR375" s="95" t="s">
        <v>147</v>
      </c>
      <c r="AT375" s="95" t="s">
        <v>90</v>
      </c>
      <c r="AU375" s="95" t="s">
        <v>94</v>
      </c>
      <c r="AY375" s="7" t="s">
        <v>88</v>
      </c>
      <c r="BE375" s="96">
        <f t="shared" si="139"/>
        <v>0</v>
      </c>
      <c r="BF375" s="96">
        <f t="shared" si="140"/>
        <v>0</v>
      </c>
      <c r="BG375" s="96">
        <f t="shared" si="141"/>
        <v>0</v>
      </c>
      <c r="BH375" s="96">
        <f t="shared" si="142"/>
        <v>0</v>
      </c>
      <c r="BI375" s="96">
        <f t="shared" si="143"/>
        <v>0</v>
      </c>
      <c r="BJ375" s="7" t="s">
        <v>94</v>
      </c>
      <c r="BK375" s="96">
        <f t="shared" si="144"/>
        <v>0</v>
      </c>
      <c r="BL375" s="7" t="s">
        <v>147</v>
      </c>
      <c r="BM375" s="95" t="s">
        <v>690</v>
      </c>
    </row>
    <row r="376" spans="2:65" s="1" customFormat="1" ht="52.5" customHeight="1">
      <c r="B376" s="83"/>
      <c r="C376" s="84">
        <v>219</v>
      </c>
      <c r="D376" s="84" t="s">
        <v>90</v>
      </c>
      <c r="E376" s="85" t="s">
        <v>691</v>
      </c>
      <c r="F376" s="86" t="s">
        <v>881</v>
      </c>
      <c r="G376" s="87" t="s">
        <v>145</v>
      </c>
      <c r="H376" s="88">
        <v>2.2999999999999998</v>
      </c>
      <c r="I376" s="89"/>
      <c r="J376" s="89">
        <f t="shared" si="135"/>
        <v>0</v>
      </c>
      <c r="K376" s="90"/>
      <c r="L376" s="15"/>
      <c r="M376" s="91" t="s">
        <v>0</v>
      </c>
      <c r="N376" s="92" t="s">
        <v>23</v>
      </c>
      <c r="O376" s="93">
        <v>0.27200000000000002</v>
      </c>
      <c r="P376" s="93">
        <f t="shared" si="136"/>
        <v>0.62560000000000004</v>
      </c>
      <c r="Q376" s="93">
        <v>0</v>
      </c>
      <c r="R376" s="93">
        <f t="shared" si="137"/>
        <v>0</v>
      </c>
      <c r="S376" s="93">
        <v>0</v>
      </c>
      <c r="T376" s="94">
        <f t="shared" si="138"/>
        <v>0</v>
      </c>
      <c r="V376" s="127" t="s">
        <v>956</v>
      </c>
      <c r="AR376" s="95" t="s">
        <v>147</v>
      </c>
      <c r="AT376" s="95" t="s">
        <v>90</v>
      </c>
      <c r="AU376" s="95" t="s">
        <v>94</v>
      </c>
      <c r="AY376" s="7" t="s">
        <v>88</v>
      </c>
      <c r="BE376" s="96">
        <f t="shared" si="139"/>
        <v>0</v>
      </c>
      <c r="BF376" s="96">
        <f t="shared" si="140"/>
        <v>0</v>
      </c>
      <c r="BG376" s="96">
        <f t="shared" si="141"/>
        <v>0</v>
      </c>
      <c r="BH376" s="96">
        <f t="shared" si="142"/>
        <v>0</v>
      </c>
      <c r="BI376" s="96">
        <f t="shared" si="143"/>
        <v>0</v>
      </c>
      <c r="BJ376" s="7" t="s">
        <v>94</v>
      </c>
      <c r="BK376" s="96">
        <f t="shared" si="144"/>
        <v>0</v>
      </c>
      <c r="BL376" s="7" t="s">
        <v>147</v>
      </c>
      <c r="BM376" s="95" t="s">
        <v>692</v>
      </c>
    </row>
    <row r="377" spans="2:65" s="1" customFormat="1" ht="47.45" customHeight="1">
      <c r="B377" s="83"/>
      <c r="C377" s="84">
        <v>220</v>
      </c>
      <c r="D377" s="84" t="s">
        <v>90</v>
      </c>
      <c r="E377" s="85" t="s">
        <v>693</v>
      </c>
      <c r="F377" s="86" t="s">
        <v>882</v>
      </c>
      <c r="G377" s="87" t="s">
        <v>145</v>
      </c>
      <c r="H377" s="88">
        <v>1.6</v>
      </c>
      <c r="I377" s="89"/>
      <c r="J377" s="89">
        <f t="shared" si="135"/>
        <v>0</v>
      </c>
      <c r="K377" s="90"/>
      <c r="L377" s="15"/>
      <c r="M377" s="91" t="s">
        <v>0</v>
      </c>
      <c r="N377" s="92" t="s">
        <v>23</v>
      </c>
      <c r="O377" s="93">
        <v>0.27200000000000002</v>
      </c>
      <c r="P377" s="93">
        <f t="shared" si="136"/>
        <v>0.43520000000000003</v>
      </c>
      <c r="Q377" s="93">
        <v>0</v>
      </c>
      <c r="R377" s="93">
        <f t="shared" si="137"/>
        <v>0</v>
      </c>
      <c r="S377" s="93">
        <v>0</v>
      </c>
      <c r="T377" s="94">
        <f t="shared" si="138"/>
        <v>0</v>
      </c>
      <c r="V377" s="127" t="s">
        <v>956</v>
      </c>
      <c r="AR377" s="95" t="s">
        <v>147</v>
      </c>
      <c r="AT377" s="95" t="s">
        <v>90</v>
      </c>
      <c r="AU377" s="95" t="s">
        <v>94</v>
      </c>
      <c r="AY377" s="7" t="s">
        <v>88</v>
      </c>
      <c r="BE377" s="96">
        <f t="shared" si="139"/>
        <v>0</v>
      </c>
      <c r="BF377" s="96">
        <f t="shared" si="140"/>
        <v>0</v>
      </c>
      <c r="BG377" s="96">
        <f t="shared" si="141"/>
        <v>0</v>
      </c>
      <c r="BH377" s="96">
        <f t="shared" si="142"/>
        <v>0</v>
      </c>
      <c r="BI377" s="96">
        <f t="shared" si="143"/>
        <v>0</v>
      </c>
      <c r="BJ377" s="7" t="s">
        <v>94</v>
      </c>
      <c r="BK377" s="96">
        <f t="shared" si="144"/>
        <v>0</v>
      </c>
      <c r="BL377" s="7" t="s">
        <v>147</v>
      </c>
      <c r="BM377" s="95" t="s">
        <v>694</v>
      </c>
    </row>
    <row r="378" spans="2:65" s="1" customFormat="1" ht="64.5" customHeight="1">
      <c r="B378" s="83"/>
      <c r="C378" s="84">
        <v>221</v>
      </c>
      <c r="D378" s="84" t="s">
        <v>90</v>
      </c>
      <c r="E378" s="85" t="s">
        <v>695</v>
      </c>
      <c r="F378" s="86" t="s">
        <v>932</v>
      </c>
      <c r="G378" s="87" t="s">
        <v>145</v>
      </c>
      <c r="H378" s="88">
        <v>2.2000000000000002</v>
      </c>
      <c r="I378" s="89"/>
      <c r="J378" s="89">
        <f t="shared" si="135"/>
        <v>0</v>
      </c>
      <c r="K378" s="90"/>
      <c r="L378" s="15"/>
      <c r="M378" s="91" t="s">
        <v>0</v>
      </c>
      <c r="N378" s="92" t="s">
        <v>23</v>
      </c>
      <c r="O378" s="93">
        <v>0.27200000000000002</v>
      </c>
      <c r="P378" s="93">
        <f t="shared" si="136"/>
        <v>0.59840000000000004</v>
      </c>
      <c r="Q378" s="93">
        <v>0</v>
      </c>
      <c r="R378" s="93">
        <f t="shared" si="137"/>
        <v>0</v>
      </c>
      <c r="S378" s="93">
        <v>0</v>
      </c>
      <c r="T378" s="94">
        <f t="shared" si="138"/>
        <v>0</v>
      </c>
      <c r="V378" s="127" t="s">
        <v>956</v>
      </c>
      <c r="AR378" s="95" t="s">
        <v>147</v>
      </c>
      <c r="AT378" s="95" t="s">
        <v>90</v>
      </c>
      <c r="AU378" s="95" t="s">
        <v>94</v>
      </c>
      <c r="AY378" s="7" t="s">
        <v>88</v>
      </c>
      <c r="BE378" s="96">
        <f t="shared" si="139"/>
        <v>0</v>
      </c>
      <c r="BF378" s="96">
        <f t="shared" si="140"/>
        <v>0</v>
      </c>
      <c r="BG378" s="96">
        <f t="shared" si="141"/>
        <v>0</v>
      </c>
      <c r="BH378" s="96">
        <f t="shared" si="142"/>
        <v>0</v>
      </c>
      <c r="BI378" s="96">
        <f t="shared" si="143"/>
        <v>0</v>
      </c>
      <c r="BJ378" s="7" t="s">
        <v>94</v>
      </c>
      <c r="BK378" s="96">
        <f t="shared" si="144"/>
        <v>0</v>
      </c>
      <c r="BL378" s="7" t="s">
        <v>147</v>
      </c>
      <c r="BM378" s="95" t="s">
        <v>697</v>
      </c>
    </row>
    <row r="379" spans="2:65" s="1" customFormat="1" ht="64.5" customHeight="1">
      <c r="B379" s="83"/>
      <c r="C379" s="84">
        <v>222</v>
      </c>
      <c r="D379" s="84" t="s">
        <v>90</v>
      </c>
      <c r="E379" s="85" t="s">
        <v>695</v>
      </c>
      <c r="F379" s="86" t="s">
        <v>933</v>
      </c>
      <c r="G379" s="87" t="s">
        <v>145</v>
      </c>
      <c r="H379" s="88">
        <v>19</v>
      </c>
      <c r="I379" s="89"/>
      <c r="J379" s="89">
        <f t="shared" ref="J379" si="145">ROUND(I379*H379,2)</f>
        <v>0</v>
      </c>
      <c r="K379" s="90"/>
      <c r="L379" s="15"/>
      <c r="M379" s="91"/>
      <c r="N379" s="92"/>
      <c r="O379" s="93"/>
      <c r="P379" s="93"/>
      <c r="Q379" s="93"/>
      <c r="R379" s="93"/>
      <c r="S379" s="93"/>
      <c r="T379" s="94"/>
      <c r="V379" s="127" t="s">
        <v>956</v>
      </c>
      <c r="AR379" s="95"/>
      <c r="AT379" s="95"/>
      <c r="AU379" s="95"/>
      <c r="AY379" s="7"/>
      <c r="BE379" s="96"/>
      <c r="BF379" s="96"/>
      <c r="BG379" s="96"/>
      <c r="BH379" s="96"/>
      <c r="BI379" s="96"/>
      <c r="BJ379" s="7"/>
      <c r="BK379" s="96"/>
      <c r="BL379" s="7"/>
      <c r="BM379" s="95"/>
    </row>
    <row r="380" spans="2:65" s="1" customFormat="1" ht="59.25" customHeight="1">
      <c r="B380" s="83"/>
      <c r="C380" s="84">
        <v>223</v>
      </c>
      <c r="D380" s="84" t="s">
        <v>90</v>
      </c>
      <c r="E380" s="85" t="s">
        <v>695</v>
      </c>
      <c r="F380" s="143" t="s">
        <v>1022</v>
      </c>
      <c r="G380" s="87" t="s">
        <v>696</v>
      </c>
      <c r="H380" s="88">
        <v>1</v>
      </c>
      <c r="I380" s="89"/>
      <c r="J380" s="89">
        <f t="shared" ref="J380" si="146">ROUND(I380*H380,2)</f>
        <v>0</v>
      </c>
      <c r="K380" s="90"/>
      <c r="L380" s="15"/>
      <c r="M380" s="91"/>
      <c r="N380" s="92"/>
      <c r="O380" s="93"/>
      <c r="P380" s="93"/>
      <c r="Q380" s="93"/>
      <c r="R380" s="93"/>
      <c r="S380" s="93"/>
      <c r="T380" s="94"/>
      <c r="V380" s="128" t="s">
        <v>959</v>
      </c>
      <c r="AR380" s="95"/>
      <c r="AT380" s="95"/>
      <c r="AU380" s="95"/>
      <c r="AY380" s="7"/>
      <c r="BE380" s="96"/>
      <c r="BF380" s="96"/>
      <c r="BG380" s="96"/>
      <c r="BH380" s="96"/>
      <c r="BI380" s="96"/>
      <c r="BJ380" s="7"/>
      <c r="BK380" s="96"/>
      <c r="BL380" s="7"/>
      <c r="BM380" s="95"/>
    </row>
    <row r="381" spans="2:65" s="1" customFormat="1" ht="55.5" customHeight="1">
      <c r="B381" s="83"/>
      <c r="C381" s="84">
        <v>224</v>
      </c>
      <c r="D381" s="84" t="s">
        <v>90</v>
      </c>
      <c r="E381" s="85" t="s">
        <v>698</v>
      </c>
      <c r="F381" s="86" t="s">
        <v>1021</v>
      </c>
      <c r="G381" s="87" t="s">
        <v>145</v>
      </c>
      <c r="H381" s="88">
        <v>2.8</v>
      </c>
      <c r="I381" s="89"/>
      <c r="J381" s="89">
        <f t="shared" si="135"/>
        <v>0</v>
      </c>
      <c r="K381" s="90"/>
      <c r="L381" s="15"/>
      <c r="M381" s="91" t="s">
        <v>0</v>
      </c>
      <c r="N381" s="92" t="s">
        <v>23</v>
      </c>
      <c r="O381" s="93">
        <v>0.27200000000000002</v>
      </c>
      <c r="P381" s="93">
        <f t="shared" si="136"/>
        <v>0.76160000000000005</v>
      </c>
      <c r="Q381" s="93">
        <v>0</v>
      </c>
      <c r="R381" s="93">
        <f t="shared" si="137"/>
        <v>0</v>
      </c>
      <c r="S381" s="93">
        <v>0</v>
      </c>
      <c r="T381" s="94">
        <f t="shared" si="138"/>
        <v>0</v>
      </c>
      <c r="V381" s="127" t="s">
        <v>956</v>
      </c>
      <c r="AR381" s="95" t="s">
        <v>147</v>
      </c>
      <c r="AT381" s="95" t="s">
        <v>90</v>
      </c>
      <c r="AU381" s="95" t="s">
        <v>94</v>
      </c>
      <c r="AY381" s="7" t="s">
        <v>88</v>
      </c>
      <c r="BE381" s="96">
        <f t="shared" si="139"/>
        <v>0</v>
      </c>
      <c r="BF381" s="96">
        <f t="shared" si="140"/>
        <v>0</v>
      </c>
      <c r="BG381" s="96">
        <f t="shared" si="141"/>
        <v>0</v>
      </c>
      <c r="BH381" s="96">
        <f t="shared" si="142"/>
        <v>0</v>
      </c>
      <c r="BI381" s="96">
        <f t="shared" si="143"/>
        <v>0</v>
      </c>
      <c r="BJ381" s="7" t="s">
        <v>94</v>
      </c>
      <c r="BK381" s="96">
        <f t="shared" si="144"/>
        <v>0</v>
      </c>
      <c r="BL381" s="7" t="s">
        <v>147</v>
      </c>
      <c r="BM381" s="95" t="s">
        <v>699</v>
      </c>
    </row>
    <row r="382" spans="2:65" s="1" customFormat="1" ht="24.2" customHeight="1">
      <c r="B382" s="83"/>
      <c r="C382" s="84">
        <v>225</v>
      </c>
      <c r="D382" s="84" t="s">
        <v>90</v>
      </c>
      <c r="E382" s="85" t="s">
        <v>700</v>
      </c>
      <c r="F382" s="86" t="s">
        <v>934</v>
      </c>
      <c r="G382" s="87" t="s">
        <v>160</v>
      </c>
      <c r="H382" s="88">
        <v>1</v>
      </c>
      <c r="I382" s="89"/>
      <c r="J382" s="89">
        <f t="shared" si="135"/>
        <v>0</v>
      </c>
      <c r="K382" s="90"/>
      <c r="L382" s="15"/>
      <c r="M382" s="91" t="s">
        <v>0</v>
      </c>
      <c r="N382" s="92" t="s">
        <v>23</v>
      </c>
      <c r="O382" s="93">
        <v>1.5206</v>
      </c>
      <c r="P382" s="93">
        <f t="shared" si="136"/>
        <v>1.5206</v>
      </c>
      <c r="Q382" s="93">
        <v>0</v>
      </c>
      <c r="R382" s="93">
        <f t="shared" si="137"/>
        <v>0</v>
      </c>
      <c r="S382" s="93">
        <v>3.85E-2</v>
      </c>
      <c r="T382" s="94">
        <f t="shared" si="138"/>
        <v>3.85E-2</v>
      </c>
      <c r="V382" s="120" t="s">
        <v>948</v>
      </c>
      <c r="AR382" s="95" t="s">
        <v>147</v>
      </c>
      <c r="AT382" s="95" t="s">
        <v>90</v>
      </c>
      <c r="AU382" s="95" t="s">
        <v>94</v>
      </c>
      <c r="AY382" s="7" t="s">
        <v>88</v>
      </c>
      <c r="BE382" s="96">
        <f t="shared" si="139"/>
        <v>0</v>
      </c>
      <c r="BF382" s="96">
        <f t="shared" si="140"/>
        <v>0</v>
      </c>
      <c r="BG382" s="96">
        <f t="shared" si="141"/>
        <v>0</v>
      </c>
      <c r="BH382" s="96">
        <f t="shared" si="142"/>
        <v>0</v>
      </c>
      <c r="BI382" s="96">
        <f t="shared" si="143"/>
        <v>0</v>
      </c>
      <c r="BJ382" s="7" t="s">
        <v>94</v>
      </c>
      <c r="BK382" s="96">
        <f t="shared" si="144"/>
        <v>0</v>
      </c>
      <c r="BL382" s="7" t="s">
        <v>147</v>
      </c>
      <c r="BM382" s="95" t="s">
        <v>701</v>
      </c>
    </row>
    <row r="383" spans="2:65" s="1" customFormat="1" ht="45" customHeight="1">
      <c r="B383" s="83"/>
      <c r="C383" s="84">
        <v>226</v>
      </c>
      <c r="D383" s="84" t="s">
        <v>90</v>
      </c>
      <c r="E383" s="85" t="s">
        <v>702</v>
      </c>
      <c r="F383" s="143" t="s">
        <v>1020</v>
      </c>
      <c r="G383" s="87" t="s">
        <v>160</v>
      </c>
      <c r="H383" s="88">
        <v>6</v>
      </c>
      <c r="I383" s="89"/>
      <c r="J383" s="89">
        <f t="shared" si="135"/>
        <v>0</v>
      </c>
      <c r="K383" s="90"/>
      <c r="L383" s="15"/>
      <c r="M383" s="91" t="s">
        <v>0</v>
      </c>
      <c r="N383" s="92" t="s">
        <v>23</v>
      </c>
      <c r="O383" s="93">
        <v>1.07592</v>
      </c>
      <c r="P383" s="93">
        <f t="shared" si="136"/>
        <v>6.4555199999999999</v>
      </c>
      <c r="Q383" s="93">
        <v>2.1499999999999999E-4</v>
      </c>
      <c r="R383" s="93">
        <f t="shared" si="137"/>
        <v>1.2899999999999999E-3</v>
      </c>
      <c r="S383" s="93">
        <v>0</v>
      </c>
      <c r="T383" s="94">
        <f t="shared" si="138"/>
        <v>0</v>
      </c>
      <c r="V383" s="123" t="s">
        <v>950</v>
      </c>
      <c r="W383" s="96"/>
      <c r="AR383" s="95" t="s">
        <v>147</v>
      </c>
      <c r="AT383" s="95" t="s">
        <v>90</v>
      </c>
      <c r="AU383" s="95" t="s">
        <v>94</v>
      </c>
      <c r="AY383" s="7" t="s">
        <v>88</v>
      </c>
      <c r="BE383" s="96">
        <f t="shared" si="139"/>
        <v>0</v>
      </c>
      <c r="BF383" s="96">
        <f t="shared" si="140"/>
        <v>0</v>
      </c>
      <c r="BG383" s="96">
        <f t="shared" si="141"/>
        <v>0</v>
      </c>
      <c r="BH383" s="96">
        <f t="shared" si="142"/>
        <v>0</v>
      </c>
      <c r="BI383" s="96">
        <f t="shared" si="143"/>
        <v>0</v>
      </c>
      <c r="BJ383" s="7" t="s">
        <v>94</v>
      </c>
      <c r="BK383" s="96">
        <f t="shared" si="144"/>
        <v>0</v>
      </c>
      <c r="BL383" s="7" t="s">
        <v>147</v>
      </c>
      <c r="BM383" s="95" t="s">
        <v>703</v>
      </c>
    </row>
    <row r="384" spans="2:65" s="1" customFormat="1" ht="45" customHeight="1">
      <c r="B384" s="83"/>
      <c r="C384" s="84">
        <v>227</v>
      </c>
      <c r="D384" s="84" t="s">
        <v>90</v>
      </c>
      <c r="E384" s="85" t="s">
        <v>704</v>
      </c>
      <c r="F384" s="86" t="s">
        <v>976</v>
      </c>
      <c r="G384" s="87" t="s">
        <v>160</v>
      </c>
      <c r="H384" s="88">
        <v>4</v>
      </c>
      <c r="I384" s="89"/>
      <c r="J384" s="89">
        <f t="shared" si="135"/>
        <v>0</v>
      </c>
      <c r="K384" s="90"/>
      <c r="L384" s="15"/>
      <c r="M384" s="91" t="s">
        <v>0</v>
      </c>
      <c r="N384" s="92" t="s">
        <v>23</v>
      </c>
      <c r="O384" s="93">
        <v>1.07592</v>
      </c>
      <c r="P384" s="93">
        <f t="shared" si="136"/>
        <v>4.3036799999999999</v>
      </c>
      <c r="Q384" s="93">
        <v>2.1499999999999999E-4</v>
      </c>
      <c r="R384" s="93">
        <f t="shared" si="137"/>
        <v>8.5999999999999998E-4</v>
      </c>
      <c r="S384" s="93">
        <v>0</v>
      </c>
      <c r="T384" s="94">
        <f t="shared" si="138"/>
        <v>0</v>
      </c>
      <c r="V384" s="123" t="s">
        <v>950</v>
      </c>
      <c r="W384" s="96"/>
      <c r="AR384" s="95" t="s">
        <v>147</v>
      </c>
      <c r="AT384" s="95" t="s">
        <v>90</v>
      </c>
      <c r="AU384" s="95" t="s">
        <v>94</v>
      </c>
      <c r="AY384" s="7" t="s">
        <v>88</v>
      </c>
      <c r="BE384" s="96">
        <f t="shared" si="139"/>
        <v>0</v>
      </c>
      <c r="BF384" s="96">
        <f t="shared" si="140"/>
        <v>0</v>
      </c>
      <c r="BG384" s="96">
        <f t="shared" si="141"/>
        <v>0</v>
      </c>
      <c r="BH384" s="96">
        <f t="shared" si="142"/>
        <v>0</v>
      </c>
      <c r="BI384" s="96">
        <f t="shared" si="143"/>
        <v>0</v>
      </c>
      <c r="BJ384" s="7" t="s">
        <v>94</v>
      </c>
      <c r="BK384" s="96">
        <f t="shared" si="144"/>
        <v>0</v>
      </c>
      <c r="BL384" s="7" t="s">
        <v>147</v>
      </c>
      <c r="BM384" s="95" t="s">
        <v>705</v>
      </c>
    </row>
    <row r="385" spans="2:65" s="1" customFormat="1" ht="41.45" customHeight="1">
      <c r="B385" s="83"/>
      <c r="C385" s="84">
        <v>228</v>
      </c>
      <c r="D385" s="84" t="s">
        <v>90</v>
      </c>
      <c r="E385" s="85" t="s">
        <v>706</v>
      </c>
      <c r="F385" s="86" t="s">
        <v>977</v>
      </c>
      <c r="G385" s="87" t="s">
        <v>160</v>
      </c>
      <c r="H385" s="88">
        <v>5</v>
      </c>
      <c r="I385" s="89"/>
      <c r="J385" s="89">
        <f t="shared" si="135"/>
        <v>0</v>
      </c>
      <c r="K385" s="90"/>
      <c r="L385" s="15"/>
      <c r="M385" s="91" t="s">
        <v>0</v>
      </c>
      <c r="N385" s="92" t="s">
        <v>23</v>
      </c>
      <c r="O385" s="93">
        <v>1.07592</v>
      </c>
      <c r="P385" s="93">
        <f t="shared" si="136"/>
        <v>5.3795999999999999</v>
      </c>
      <c r="Q385" s="93">
        <v>2.1499999999999999E-4</v>
      </c>
      <c r="R385" s="93">
        <f t="shared" si="137"/>
        <v>1.075E-3</v>
      </c>
      <c r="S385" s="93">
        <v>0</v>
      </c>
      <c r="T385" s="94">
        <f t="shared" si="138"/>
        <v>0</v>
      </c>
      <c r="V385" s="123" t="s">
        <v>950</v>
      </c>
      <c r="W385" s="96"/>
      <c r="AR385" s="95" t="s">
        <v>147</v>
      </c>
      <c r="AT385" s="95" t="s">
        <v>90</v>
      </c>
      <c r="AU385" s="95" t="s">
        <v>94</v>
      </c>
      <c r="AY385" s="7" t="s">
        <v>88</v>
      </c>
      <c r="BE385" s="96">
        <f t="shared" si="139"/>
        <v>0</v>
      </c>
      <c r="BF385" s="96">
        <f t="shared" si="140"/>
        <v>0</v>
      </c>
      <c r="BG385" s="96">
        <f t="shared" si="141"/>
        <v>0</v>
      </c>
      <c r="BH385" s="96">
        <f t="shared" si="142"/>
        <v>0</v>
      </c>
      <c r="BI385" s="96">
        <f t="shared" si="143"/>
        <v>0</v>
      </c>
      <c r="BJ385" s="7" t="s">
        <v>94</v>
      </c>
      <c r="BK385" s="96">
        <f t="shared" si="144"/>
        <v>0</v>
      </c>
      <c r="BL385" s="7" t="s">
        <v>147</v>
      </c>
      <c r="BM385" s="95" t="s">
        <v>707</v>
      </c>
    </row>
    <row r="386" spans="2:65" s="1" customFormat="1" ht="41.45" customHeight="1">
      <c r="B386" s="83"/>
      <c r="C386" s="84">
        <v>229</v>
      </c>
      <c r="D386" s="84" t="s">
        <v>90</v>
      </c>
      <c r="E386" s="85" t="s">
        <v>708</v>
      </c>
      <c r="F386" s="86" t="s">
        <v>978</v>
      </c>
      <c r="G386" s="87" t="s">
        <v>160</v>
      </c>
      <c r="H386" s="88">
        <v>3</v>
      </c>
      <c r="I386" s="89"/>
      <c r="J386" s="89">
        <f t="shared" ref="J386:J404" si="147">ROUND(I386*H386,2)</f>
        <v>0</v>
      </c>
      <c r="K386" s="90"/>
      <c r="L386" s="15"/>
      <c r="M386" s="91" t="s">
        <v>0</v>
      </c>
      <c r="N386" s="92" t="s">
        <v>23</v>
      </c>
      <c r="O386" s="93">
        <v>1.07592</v>
      </c>
      <c r="P386" s="93">
        <f t="shared" ref="P386:P404" si="148">O386*H386</f>
        <v>3.22776</v>
      </c>
      <c r="Q386" s="93">
        <v>2.1499999999999999E-4</v>
      </c>
      <c r="R386" s="93">
        <f t="shared" ref="R386:R404" si="149">Q386*H386</f>
        <v>6.4499999999999996E-4</v>
      </c>
      <c r="S386" s="93">
        <v>0</v>
      </c>
      <c r="T386" s="94">
        <f t="shared" ref="T386:T404" si="150">S386*H386</f>
        <v>0</v>
      </c>
      <c r="V386" s="123" t="s">
        <v>950</v>
      </c>
      <c r="W386" s="96"/>
      <c r="AR386" s="95" t="s">
        <v>147</v>
      </c>
      <c r="AT386" s="95" t="s">
        <v>90</v>
      </c>
      <c r="AU386" s="95" t="s">
        <v>94</v>
      </c>
      <c r="AY386" s="7" t="s">
        <v>88</v>
      </c>
      <c r="BE386" s="96">
        <f t="shared" ref="BE386:BE404" si="151">IF(N386="základná",J386,0)</f>
        <v>0</v>
      </c>
      <c r="BF386" s="96">
        <f t="shared" ref="BF386:BF404" si="152">IF(N386="znížená",J386,0)</f>
        <v>0</v>
      </c>
      <c r="BG386" s="96">
        <f t="shared" ref="BG386:BG404" si="153">IF(N386="zákl. prenesená",J386,0)</f>
        <v>0</v>
      </c>
      <c r="BH386" s="96">
        <f t="shared" ref="BH386:BH404" si="154">IF(N386="zníž. prenesená",J386,0)</f>
        <v>0</v>
      </c>
      <c r="BI386" s="96">
        <f t="shared" ref="BI386:BI404" si="155">IF(N386="nulová",J386,0)</f>
        <v>0</v>
      </c>
      <c r="BJ386" s="7" t="s">
        <v>94</v>
      </c>
      <c r="BK386" s="96">
        <f t="shared" ref="BK386:BK404" si="156">ROUND(I386*H386,2)</f>
        <v>0</v>
      </c>
      <c r="BL386" s="7" t="s">
        <v>147</v>
      </c>
      <c r="BM386" s="95" t="s">
        <v>709</v>
      </c>
    </row>
    <row r="387" spans="2:65" s="1" customFormat="1" ht="41.45" customHeight="1">
      <c r="B387" s="83"/>
      <c r="C387" s="84">
        <v>230</v>
      </c>
      <c r="D387" s="84" t="s">
        <v>90</v>
      </c>
      <c r="E387" s="85" t="s">
        <v>710</v>
      </c>
      <c r="F387" s="86" t="s">
        <v>979</v>
      </c>
      <c r="G387" s="87" t="s">
        <v>160</v>
      </c>
      <c r="H387" s="88">
        <v>3</v>
      </c>
      <c r="I387" s="89"/>
      <c r="J387" s="89">
        <f t="shared" si="147"/>
        <v>0</v>
      </c>
      <c r="K387" s="90"/>
      <c r="L387" s="111"/>
      <c r="M387" s="91" t="s">
        <v>0</v>
      </c>
      <c r="N387" s="92" t="s">
        <v>23</v>
      </c>
      <c r="O387" s="93">
        <v>1.07592</v>
      </c>
      <c r="P387" s="93">
        <f t="shared" si="148"/>
        <v>3.22776</v>
      </c>
      <c r="Q387" s="93">
        <v>2.1499999999999999E-4</v>
      </c>
      <c r="R387" s="93">
        <f t="shared" si="149"/>
        <v>6.4499999999999996E-4</v>
      </c>
      <c r="S387" s="93">
        <v>0</v>
      </c>
      <c r="T387" s="94">
        <f t="shared" si="150"/>
        <v>0</v>
      </c>
      <c r="V387" s="123" t="s">
        <v>950</v>
      </c>
      <c r="W387" s="96"/>
      <c r="AR387" s="95" t="s">
        <v>147</v>
      </c>
      <c r="AT387" s="95" t="s">
        <v>90</v>
      </c>
      <c r="AU387" s="95" t="s">
        <v>94</v>
      </c>
      <c r="AY387" s="7" t="s">
        <v>88</v>
      </c>
      <c r="BE387" s="96">
        <f t="shared" si="151"/>
        <v>0</v>
      </c>
      <c r="BF387" s="96">
        <f t="shared" si="152"/>
        <v>0</v>
      </c>
      <c r="BG387" s="96">
        <f t="shared" si="153"/>
        <v>0</v>
      </c>
      <c r="BH387" s="96">
        <f t="shared" si="154"/>
        <v>0</v>
      </c>
      <c r="BI387" s="96">
        <f t="shared" si="155"/>
        <v>0</v>
      </c>
      <c r="BJ387" s="7" t="s">
        <v>94</v>
      </c>
      <c r="BK387" s="96">
        <f t="shared" si="156"/>
        <v>0</v>
      </c>
      <c r="BL387" s="7" t="s">
        <v>147</v>
      </c>
      <c r="BM387" s="95" t="s">
        <v>711</v>
      </c>
    </row>
    <row r="388" spans="2:65" s="1" customFormat="1" ht="41.45" customHeight="1">
      <c r="B388" s="83"/>
      <c r="C388" s="84">
        <v>231</v>
      </c>
      <c r="D388" s="84" t="s">
        <v>90</v>
      </c>
      <c r="E388" s="85" t="s">
        <v>712</v>
      </c>
      <c r="F388" s="86" t="s">
        <v>980</v>
      </c>
      <c r="G388" s="87" t="s">
        <v>160</v>
      </c>
      <c r="H388" s="88">
        <v>2</v>
      </c>
      <c r="I388" s="89"/>
      <c r="J388" s="89">
        <f t="shared" si="147"/>
        <v>0</v>
      </c>
      <c r="K388" s="90"/>
      <c r="L388" s="15"/>
      <c r="M388" s="91" t="s">
        <v>0</v>
      </c>
      <c r="N388" s="92" t="s">
        <v>23</v>
      </c>
      <c r="O388" s="93">
        <v>1.07592</v>
      </c>
      <c r="P388" s="93">
        <f t="shared" si="148"/>
        <v>2.15184</v>
      </c>
      <c r="Q388" s="93">
        <v>2.1499999999999999E-4</v>
      </c>
      <c r="R388" s="93">
        <f t="shared" si="149"/>
        <v>4.2999999999999999E-4</v>
      </c>
      <c r="S388" s="93">
        <v>0</v>
      </c>
      <c r="T388" s="94">
        <f t="shared" si="150"/>
        <v>0</v>
      </c>
      <c r="V388" s="123" t="s">
        <v>950</v>
      </c>
      <c r="W388" s="96"/>
      <c r="AR388" s="95" t="s">
        <v>147</v>
      </c>
      <c r="AT388" s="95" t="s">
        <v>90</v>
      </c>
      <c r="AU388" s="95" t="s">
        <v>94</v>
      </c>
      <c r="AY388" s="7" t="s">
        <v>88</v>
      </c>
      <c r="BE388" s="96">
        <f t="shared" si="151"/>
        <v>0</v>
      </c>
      <c r="BF388" s="96">
        <f t="shared" si="152"/>
        <v>0</v>
      </c>
      <c r="BG388" s="96">
        <f t="shared" si="153"/>
        <v>0</v>
      </c>
      <c r="BH388" s="96">
        <f t="shared" si="154"/>
        <v>0</v>
      </c>
      <c r="BI388" s="96">
        <f t="shared" si="155"/>
        <v>0</v>
      </c>
      <c r="BJ388" s="7" t="s">
        <v>94</v>
      </c>
      <c r="BK388" s="96">
        <f t="shared" si="156"/>
        <v>0</v>
      </c>
      <c r="BL388" s="7" t="s">
        <v>147</v>
      </c>
      <c r="BM388" s="95" t="s">
        <v>713</v>
      </c>
    </row>
    <row r="389" spans="2:65" s="1" customFormat="1" ht="41.45" customHeight="1">
      <c r="B389" s="83"/>
      <c r="C389" s="84">
        <v>232</v>
      </c>
      <c r="D389" s="84" t="s">
        <v>90</v>
      </c>
      <c r="E389" s="85" t="s">
        <v>714</v>
      </c>
      <c r="F389" s="86" t="s">
        <v>981</v>
      </c>
      <c r="G389" s="87" t="s">
        <v>160</v>
      </c>
      <c r="H389" s="149">
        <v>3</v>
      </c>
      <c r="I389" s="89"/>
      <c r="J389" s="89">
        <f t="shared" si="147"/>
        <v>0</v>
      </c>
      <c r="K389" s="90"/>
      <c r="L389" s="15"/>
      <c r="M389" s="91" t="s">
        <v>0</v>
      </c>
      <c r="N389" s="92" t="s">
        <v>23</v>
      </c>
      <c r="O389" s="93">
        <v>1.07592</v>
      </c>
      <c r="P389" s="93">
        <f t="shared" si="148"/>
        <v>3.22776</v>
      </c>
      <c r="Q389" s="93">
        <v>2.1499999999999999E-4</v>
      </c>
      <c r="R389" s="93">
        <f t="shared" si="149"/>
        <v>6.4499999999999996E-4</v>
      </c>
      <c r="S389" s="93">
        <v>0</v>
      </c>
      <c r="T389" s="94">
        <f t="shared" si="150"/>
        <v>0</v>
      </c>
      <c r="V389" s="123" t="s">
        <v>950</v>
      </c>
      <c r="W389" s="96"/>
      <c r="AR389" s="95" t="s">
        <v>147</v>
      </c>
      <c r="AT389" s="95" t="s">
        <v>90</v>
      </c>
      <c r="AU389" s="95" t="s">
        <v>94</v>
      </c>
      <c r="AY389" s="7" t="s">
        <v>88</v>
      </c>
      <c r="BE389" s="96">
        <f t="shared" si="151"/>
        <v>0</v>
      </c>
      <c r="BF389" s="96">
        <f t="shared" si="152"/>
        <v>0</v>
      </c>
      <c r="BG389" s="96">
        <f t="shared" si="153"/>
        <v>0</v>
      </c>
      <c r="BH389" s="96">
        <f t="shared" si="154"/>
        <v>0</v>
      </c>
      <c r="BI389" s="96">
        <f t="shared" si="155"/>
        <v>0</v>
      </c>
      <c r="BJ389" s="7" t="s">
        <v>94</v>
      </c>
      <c r="BK389" s="96">
        <f t="shared" si="156"/>
        <v>0</v>
      </c>
      <c r="BL389" s="7" t="s">
        <v>147</v>
      </c>
      <c r="BM389" s="95" t="s">
        <v>715</v>
      </c>
    </row>
    <row r="390" spans="2:65" s="1" customFormat="1" ht="41.45" customHeight="1">
      <c r="B390" s="83"/>
      <c r="C390" s="84">
        <v>233</v>
      </c>
      <c r="D390" s="84" t="s">
        <v>90</v>
      </c>
      <c r="E390" s="85" t="s">
        <v>716</v>
      </c>
      <c r="F390" s="86" t="s">
        <v>982</v>
      </c>
      <c r="G390" s="87" t="s">
        <v>160</v>
      </c>
      <c r="H390" s="149">
        <v>2</v>
      </c>
      <c r="I390" s="89"/>
      <c r="J390" s="89">
        <f t="shared" si="147"/>
        <v>0</v>
      </c>
      <c r="K390" s="90"/>
      <c r="L390" s="15"/>
      <c r="M390" s="91" t="s">
        <v>0</v>
      </c>
      <c r="N390" s="92" t="s">
        <v>23</v>
      </c>
      <c r="O390" s="93">
        <v>1.07592</v>
      </c>
      <c r="P390" s="93">
        <f t="shared" si="148"/>
        <v>2.15184</v>
      </c>
      <c r="Q390" s="93">
        <v>2.1499999999999999E-4</v>
      </c>
      <c r="R390" s="93">
        <f t="shared" si="149"/>
        <v>4.2999999999999999E-4</v>
      </c>
      <c r="S390" s="93">
        <v>0</v>
      </c>
      <c r="T390" s="94">
        <f t="shared" si="150"/>
        <v>0</v>
      </c>
      <c r="V390" s="123" t="s">
        <v>950</v>
      </c>
      <c r="W390" s="96"/>
      <c r="AR390" s="95" t="s">
        <v>147</v>
      </c>
      <c r="AT390" s="95" t="s">
        <v>90</v>
      </c>
      <c r="AU390" s="95" t="s">
        <v>94</v>
      </c>
      <c r="AY390" s="7" t="s">
        <v>88</v>
      </c>
      <c r="BE390" s="96">
        <f t="shared" si="151"/>
        <v>0</v>
      </c>
      <c r="BF390" s="96">
        <f t="shared" si="152"/>
        <v>0</v>
      </c>
      <c r="BG390" s="96">
        <f t="shared" si="153"/>
        <v>0</v>
      </c>
      <c r="BH390" s="96">
        <f t="shared" si="154"/>
        <v>0</v>
      </c>
      <c r="BI390" s="96">
        <f t="shared" si="155"/>
        <v>0</v>
      </c>
      <c r="BJ390" s="7" t="s">
        <v>94</v>
      </c>
      <c r="BK390" s="96">
        <f t="shared" si="156"/>
        <v>0</v>
      </c>
      <c r="BL390" s="7" t="s">
        <v>147</v>
      </c>
      <c r="BM390" s="95" t="s">
        <v>717</v>
      </c>
    </row>
    <row r="391" spans="2:65" s="1" customFormat="1" ht="41.45" customHeight="1">
      <c r="B391" s="83"/>
      <c r="C391" s="84">
        <v>234</v>
      </c>
      <c r="D391" s="84" t="s">
        <v>90</v>
      </c>
      <c r="E391" s="85" t="s">
        <v>718</v>
      </c>
      <c r="F391" s="86" t="s">
        <v>983</v>
      </c>
      <c r="G391" s="87" t="s">
        <v>160</v>
      </c>
      <c r="H391" s="88">
        <v>2</v>
      </c>
      <c r="I391" s="89"/>
      <c r="J391" s="89">
        <f t="shared" si="147"/>
        <v>0</v>
      </c>
      <c r="K391" s="90"/>
      <c r="L391" s="15"/>
      <c r="M391" s="91" t="s">
        <v>0</v>
      </c>
      <c r="N391" s="92" t="s">
        <v>23</v>
      </c>
      <c r="O391" s="93">
        <v>1.0760000000000001</v>
      </c>
      <c r="P391" s="93">
        <f t="shared" si="148"/>
        <v>2.1520000000000001</v>
      </c>
      <c r="Q391" s="93">
        <v>2.2000000000000001E-4</v>
      </c>
      <c r="R391" s="93">
        <f t="shared" si="149"/>
        <v>4.4000000000000002E-4</v>
      </c>
      <c r="S391" s="93">
        <v>0</v>
      </c>
      <c r="T391" s="94">
        <f t="shared" si="150"/>
        <v>0</v>
      </c>
      <c r="V391" s="123" t="s">
        <v>950</v>
      </c>
      <c r="W391" s="96"/>
      <c r="AR391" s="95" t="s">
        <v>147</v>
      </c>
      <c r="AT391" s="95" t="s">
        <v>90</v>
      </c>
      <c r="AU391" s="95" t="s">
        <v>94</v>
      </c>
      <c r="AY391" s="7" t="s">
        <v>88</v>
      </c>
      <c r="BE391" s="96">
        <f t="shared" si="151"/>
        <v>0</v>
      </c>
      <c r="BF391" s="96">
        <f t="shared" si="152"/>
        <v>0</v>
      </c>
      <c r="BG391" s="96">
        <f t="shared" si="153"/>
        <v>0</v>
      </c>
      <c r="BH391" s="96">
        <f t="shared" si="154"/>
        <v>0</v>
      </c>
      <c r="BI391" s="96">
        <f t="shared" si="155"/>
        <v>0</v>
      </c>
      <c r="BJ391" s="7" t="s">
        <v>94</v>
      </c>
      <c r="BK391" s="96">
        <f t="shared" si="156"/>
        <v>0</v>
      </c>
      <c r="BL391" s="7" t="s">
        <v>147</v>
      </c>
      <c r="BM391" s="95" t="s">
        <v>719</v>
      </c>
    </row>
    <row r="392" spans="2:65" s="1" customFormat="1" ht="41.45" customHeight="1">
      <c r="B392" s="83"/>
      <c r="C392" s="84">
        <v>235</v>
      </c>
      <c r="D392" s="84" t="s">
        <v>90</v>
      </c>
      <c r="E392" s="85" t="s">
        <v>720</v>
      </c>
      <c r="F392" s="86" t="s">
        <v>984</v>
      </c>
      <c r="G392" s="87" t="s">
        <v>160</v>
      </c>
      <c r="H392" s="88">
        <v>3</v>
      </c>
      <c r="I392" s="89"/>
      <c r="J392" s="89">
        <f t="shared" si="147"/>
        <v>0</v>
      </c>
      <c r="K392" s="90"/>
      <c r="L392" s="15"/>
      <c r="M392" s="91" t="s">
        <v>0</v>
      </c>
      <c r="N392" s="92" t="s">
        <v>23</v>
      </c>
      <c r="O392" s="93">
        <v>1.07592</v>
      </c>
      <c r="P392" s="93">
        <f t="shared" si="148"/>
        <v>3.22776</v>
      </c>
      <c r="Q392" s="93">
        <v>2.1499999999999999E-4</v>
      </c>
      <c r="R392" s="93">
        <f t="shared" si="149"/>
        <v>6.4499999999999996E-4</v>
      </c>
      <c r="S392" s="93">
        <v>0</v>
      </c>
      <c r="T392" s="94">
        <f t="shared" si="150"/>
        <v>0</v>
      </c>
      <c r="V392" s="123" t="s">
        <v>950</v>
      </c>
      <c r="W392" s="96"/>
      <c r="AR392" s="95" t="s">
        <v>147</v>
      </c>
      <c r="AT392" s="95" t="s">
        <v>90</v>
      </c>
      <c r="AU392" s="95" t="s">
        <v>94</v>
      </c>
      <c r="AY392" s="7" t="s">
        <v>88</v>
      </c>
      <c r="BE392" s="96">
        <f t="shared" si="151"/>
        <v>0</v>
      </c>
      <c r="BF392" s="96">
        <f t="shared" si="152"/>
        <v>0</v>
      </c>
      <c r="BG392" s="96">
        <f t="shared" si="153"/>
        <v>0</v>
      </c>
      <c r="BH392" s="96">
        <f t="shared" si="154"/>
        <v>0</v>
      </c>
      <c r="BI392" s="96">
        <f t="shared" si="155"/>
        <v>0</v>
      </c>
      <c r="BJ392" s="7" t="s">
        <v>94</v>
      </c>
      <c r="BK392" s="96">
        <f t="shared" si="156"/>
        <v>0</v>
      </c>
      <c r="BL392" s="7" t="s">
        <v>147</v>
      </c>
      <c r="BM392" s="95" t="s">
        <v>721</v>
      </c>
    </row>
    <row r="393" spans="2:65" s="1" customFormat="1" ht="41.45" customHeight="1">
      <c r="B393" s="83"/>
      <c r="C393" s="84">
        <v>236</v>
      </c>
      <c r="D393" s="84" t="s">
        <v>90</v>
      </c>
      <c r="E393" s="85" t="s">
        <v>722</v>
      </c>
      <c r="F393" s="86" t="s">
        <v>985</v>
      </c>
      <c r="G393" s="87" t="s">
        <v>160</v>
      </c>
      <c r="H393" s="88">
        <v>1</v>
      </c>
      <c r="I393" s="89"/>
      <c r="J393" s="89">
        <f t="shared" si="147"/>
        <v>0</v>
      </c>
      <c r="K393" s="90"/>
      <c r="L393" s="15"/>
      <c r="M393" s="91" t="s">
        <v>0</v>
      </c>
      <c r="N393" s="92" t="s">
        <v>23</v>
      </c>
      <c r="O393" s="93">
        <v>1.07592</v>
      </c>
      <c r="P393" s="93">
        <f t="shared" si="148"/>
        <v>1.07592</v>
      </c>
      <c r="Q393" s="93">
        <v>2.1499999999999999E-4</v>
      </c>
      <c r="R393" s="93">
        <f t="shared" si="149"/>
        <v>2.1499999999999999E-4</v>
      </c>
      <c r="S393" s="93">
        <v>0</v>
      </c>
      <c r="T393" s="94">
        <f t="shared" si="150"/>
        <v>0</v>
      </c>
      <c r="V393" s="123" t="s">
        <v>950</v>
      </c>
      <c r="W393" s="96"/>
      <c r="AR393" s="95" t="s">
        <v>147</v>
      </c>
      <c r="AT393" s="95" t="s">
        <v>90</v>
      </c>
      <c r="AU393" s="95" t="s">
        <v>94</v>
      </c>
      <c r="AY393" s="7" t="s">
        <v>88</v>
      </c>
      <c r="BE393" s="96">
        <f t="shared" si="151"/>
        <v>0</v>
      </c>
      <c r="BF393" s="96">
        <f t="shared" si="152"/>
        <v>0</v>
      </c>
      <c r="BG393" s="96">
        <f t="shared" si="153"/>
        <v>0</v>
      </c>
      <c r="BH393" s="96">
        <f t="shared" si="154"/>
        <v>0</v>
      </c>
      <c r="BI393" s="96">
        <f t="shared" si="155"/>
        <v>0</v>
      </c>
      <c r="BJ393" s="7" t="s">
        <v>94</v>
      </c>
      <c r="BK393" s="96">
        <f t="shared" si="156"/>
        <v>0</v>
      </c>
      <c r="BL393" s="7" t="s">
        <v>147</v>
      </c>
      <c r="BM393" s="95" t="s">
        <v>723</v>
      </c>
    </row>
    <row r="394" spans="2:65" s="1" customFormat="1" ht="41.45" customHeight="1">
      <c r="B394" s="83"/>
      <c r="C394" s="84">
        <v>237</v>
      </c>
      <c r="D394" s="84" t="s">
        <v>90</v>
      </c>
      <c r="E394" s="85" t="s">
        <v>724</v>
      </c>
      <c r="F394" s="86" t="s">
        <v>986</v>
      </c>
      <c r="G394" s="87" t="s">
        <v>160</v>
      </c>
      <c r="H394" s="88">
        <v>1</v>
      </c>
      <c r="I394" s="89"/>
      <c r="J394" s="89">
        <f t="shared" si="147"/>
        <v>0</v>
      </c>
      <c r="K394" s="90"/>
      <c r="L394" s="15"/>
      <c r="M394" s="91" t="s">
        <v>0</v>
      </c>
      <c r="N394" s="92" t="s">
        <v>23</v>
      </c>
      <c r="O394" s="93">
        <v>1.07592</v>
      </c>
      <c r="P394" s="93">
        <f t="shared" si="148"/>
        <v>1.07592</v>
      </c>
      <c r="Q394" s="93">
        <v>2.1499999999999999E-4</v>
      </c>
      <c r="R394" s="93">
        <f t="shared" si="149"/>
        <v>2.1499999999999999E-4</v>
      </c>
      <c r="S394" s="93">
        <v>0</v>
      </c>
      <c r="T394" s="94">
        <f t="shared" si="150"/>
        <v>0</v>
      </c>
      <c r="V394" s="123" t="s">
        <v>950</v>
      </c>
      <c r="W394" s="96"/>
      <c r="AR394" s="95" t="s">
        <v>147</v>
      </c>
      <c r="AT394" s="95" t="s">
        <v>90</v>
      </c>
      <c r="AU394" s="95" t="s">
        <v>94</v>
      </c>
      <c r="AY394" s="7" t="s">
        <v>88</v>
      </c>
      <c r="BE394" s="96">
        <f t="shared" si="151"/>
        <v>0</v>
      </c>
      <c r="BF394" s="96">
        <f t="shared" si="152"/>
        <v>0</v>
      </c>
      <c r="BG394" s="96">
        <f t="shared" si="153"/>
        <v>0</v>
      </c>
      <c r="BH394" s="96">
        <f t="shared" si="154"/>
        <v>0</v>
      </c>
      <c r="BI394" s="96">
        <f t="shared" si="155"/>
        <v>0</v>
      </c>
      <c r="BJ394" s="7" t="s">
        <v>94</v>
      </c>
      <c r="BK394" s="96">
        <f t="shared" si="156"/>
        <v>0</v>
      </c>
      <c r="BL394" s="7" t="s">
        <v>147</v>
      </c>
      <c r="BM394" s="95" t="s">
        <v>725</v>
      </c>
    </row>
    <row r="395" spans="2:65" s="1" customFormat="1" ht="41.1" customHeight="1">
      <c r="B395" s="83"/>
      <c r="C395" s="84">
        <v>238</v>
      </c>
      <c r="D395" s="84" t="s">
        <v>90</v>
      </c>
      <c r="E395" s="85" t="s">
        <v>726</v>
      </c>
      <c r="F395" s="86" t="s">
        <v>987</v>
      </c>
      <c r="G395" s="87" t="s">
        <v>160</v>
      </c>
      <c r="H395" s="88">
        <v>10</v>
      </c>
      <c r="I395" s="89"/>
      <c r="J395" s="89">
        <f t="shared" si="147"/>
        <v>0</v>
      </c>
      <c r="K395" s="90"/>
      <c r="L395" s="15"/>
      <c r="M395" s="91" t="s">
        <v>0</v>
      </c>
      <c r="N395" s="92" t="s">
        <v>23</v>
      </c>
      <c r="O395" s="93">
        <v>1.07592</v>
      </c>
      <c r="P395" s="93">
        <f t="shared" si="148"/>
        <v>10.7592</v>
      </c>
      <c r="Q395" s="93">
        <v>2.1499999999999999E-4</v>
      </c>
      <c r="R395" s="93">
        <f t="shared" si="149"/>
        <v>2.15E-3</v>
      </c>
      <c r="S395" s="93">
        <v>0</v>
      </c>
      <c r="T395" s="94">
        <f t="shared" si="150"/>
        <v>0</v>
      </c>
      <c r="V395" s="123" t="s">
        <v>950</v>
      </c>
      <c r="W395" s="96"/>
      <c r="AR395" s="95" t="s">
        <v>147</v>
      </c>
      <c r="AT395" s="95" t="s">
        <v>90</v>
      </c>
      <c r="AU395" s="95" t="s">
        <v>94</v>
      </c>
      <c r="AY395" s="7" t="s">
        <v>88</v>
      </c>
      <c r="BE395" s="96">
        <f t="shared" si="151"/>
        <v>0</v>
      </c>
      <c r="BF395" s="96">
        <f t="shared" si="152"/>
        <v>0</v>
      </c>
      <c r="BG395" s="96">
        <f t="shared" si="153"/>
        <v>0</v>
      </c>
      <c r="BH395" s="96">
        <f t="shared" si="154"/>
        <v>0</v>
      </c>
      <c r="BI395" s="96">
        <f t="shared" si="155"/>
        <v>0</v>
      </c>
      <c r="BJ395" s="7" t="s">
        <v>94</v>
      </c>
      <c r="BK395" s="96">
        <f t="shared" si="156"/>
        <v>0</v>
      </c>
      <c r="BL395" s="7" t="s">
        <v>147</v>
      </c>
      <c r="BM395" s="95" t="s">
        <v>727</v>
      </c>
    </row>
    <row r="396" spans="2:65" s="1" customFormat="1" ht="41.1" customHeight="1">
      <c r="B396" s="83"/>
      <c r="C396" s="84">
        <v>239</v>
      </c>
      <c r="D396" s="84" t="s">
        <v>90</v>
      </c>
      <c r="E396" s="85" t="s">
        <v>728</v>
      </c>
      <c r="F396" s="86" t="s">
        <v>988</v>
      </c>
      <c r="G396" s="87" t="s">
        <v>160</v>
      </c>
      <c r="H396" s="88">
        <v>5</v>
      </c>
      <c r="I396" s="89"/>
      <c r="J396" s="89">
        <f t="shared" si="147"/>
        <v>0</v>
      </c>
      <c r="K396" s="90"/>
      <c r="L396" s="15"/>
      <c r="M396" s="91" t="s">
        <v>0</v>
      </c>
      <c r="N396" s="92" t="s">
        <v>23</v>
      </c>
      <c r="O396" s="93">
        <v>1.07592</v>
      </c>
      <c r="P396" s="93">
        <f t="shared" si="148"/>
        <v>5.3795999999999999</v>
      </c>
      <c r="Q396" s="93">
        <v>2.1499999999999999E-4</v>
      </c>
      <c r="R396" s="93">
        <f t="shared" si="149"/>
        <v>1.075E-3</v>
      </c>
      <c r="S396" s="93">
        <v>0</v>
      </c>
      <c r="T396" s="94">
        <f t="shared" si="150"/>
        <v>0</v>
      </c>
      <c r="V396" s="123" t="s">
        <v>950</v>
      </c>
      <c r="W396" s="96"/>
      <c r="AR396" s="95" t="s">
        <v>147</v>
      </c>
      <c r="AT396" s="95" t="s">
        <v>90</v>
      </c>
      <c r="AU396" s="95" t="s">
        <v>94</v>
      </c>
      <c r="AY396" s="7" t="s">
        <v>88</v>
      </c>
      <c r="BE396" s="96">
        <f t="shared" si="151"/>
        <v>0</v>
      </c>
      <c r="BF396" s="96">
        <f t="shared" si="152"/>
        <v>0</v>
      </c>
      <c r="BG396" s="96">
        <f t="shared" si="153"/>
        <v>0</v>
      </c>
      <c r="BH396" s="96">
        <f t="shared" si="154"/>
        <v>0</v>
      </c>
      <c r="BI396" s="96">
        <f t="shared" si="155"/>
        <v>0</v>
      </c>
      <c r="BJ396" s="7" t="s">
        <v>94</v>
      </c>
      <c r="BK396" s="96">
        <f t="shared" si="156"/>
        <v>0</v>
      </c>
      <c r="BL396" s="7" t="s">
        <v>147</v>
      </c>
      <c r="BM396" s="95" t="s">
        <v>729</v>
      </c>
    </row>
    <row r="397" spans="2:65" s="1" customFormat="1" ht="41.1" customHeight="1">
      <c r="B397" s="83"/>
      <c r="C397" s="84">
        <v>240</v>
      </c>
      <c r="D397" s="84" t="s">
        <v>90</v>
      </c>
      <c r="E397" s="85" t="s">
        <v>730</v>
      </c>
      <c r="F397" s="86" t="s">
        <v>989</v>
      </c>
      <c r="G397" s="87" t="s">
        <v>160</v>
      </c>
      <c r="H397" s="88">
        <v>3</v>
      </c>
      <c r="I397" s="89"/>
      <c r="J397" s="89">
        <f t="shared" si="147"/>
        <v>0</v>
      </c>
      <c r="K397" s="90"/>
      <c r="L397" s="15"/>
      <c r="M397" s="91" t="s">
        <v>0</v>
      </c>
      <c r="N397" s="92" t="s">
        <v>23</v>
      </c>
      <c r="O397" s="93">
        <v>1.07592</v>
      </c>
      <c r="P397" s="93">
        <f t="shared" si="148"/>
        <v>3.22776</v>
      </c>
      <c r="Q397" s="93">
        <v>2.1499999999999999E-4</v>
      </c>
      <c r="R397" s="93">
        <f t="shared" si="149"/>
        <v>6.4499999999999996E-4</v>
      </c>
      <c r="S397" s="93">
        <v>0</v>
      </c>
      <c r="T397" s="94">
        <f t="shared" si="150"/>
        <v>0</v>
      </c>
      <c r="V397" s="123" t="s">
        <v>950</v>
      </c>
      <c r="W397" s="96"/>
      <c r="AR397" s="95" t="s">
        <v>147</v>
      </c>
      <c r="AT397" s="95" t="s">
        <v>90</v>
      </c>
      <c r="AU397" s="95" t="s">
        <v>94</v>
      </c>
      <c r="AY397" s="7" t="s">
        <v>88</v>
      </c>
      <c r="BE397" s="96">
        <f t="shared" si="151"/>
        <v>0</v>
      </c>
      <c r="BF397" s="96">
        <f t="shared" si="152"/>
        <v>0</v>
      </c>
      <c r="BG397" s="96">
        <f t="shared" si="153"/>
        <v>0</v>
      </c>
      <c r="BH397" s="96">
        <f t="shared" si="154"/>
        <v>0</v>
      </c>
      <c r="BI397" s="96">
        <f t="shared" si="155"/>
        <v>0</v>
      </c>
      <c r="BJ397" s="7" t="s">
        <v>94</v>
      </c>
      <c r="BK397" s="96">
        <f t="shared" si="156"/>
        <v>0</v>
      </c>
      <c r="BL397" s="7" t="s">
        <v>147</v>
      </c>
      <c r="BM397" s="95" t="s">
        <v>731</v>
      </c>
    </row>
    <row r="398" spans="2:65" s="1" customFormat="1" ht="41.1" customHeight="1">
      <c r="B398" s="83"/>
      <c r="C398" s="84">
        <v>241</v>
      </c>
      <c r="D398" s="84" t="s">
        <v>90</v>
      </c>
      <c r="E398" s="85" t="s">
        <v>732</v>
      </c>
      <c r="F398" s="86" t="s">
        <v>990</v>
      </c>
      <c r="G398" s="87" t="s">
        <v>160</v>
      </c>
      <c r="H398" s="88">
        <v>1</v>
      </c>
      <c r="I398" s="89"/>
      <c r="J398" s="89">
        <f t="shared" si="147"/>
        <v>0</v>
      </c>
      <c r="K398" s="90"/>
      <c r="L398" s="15"/>
      <c r="M398" s="91" t="s">
        <v>0</v>
      </c>
      <c r="N398" s="92" t="s">
        <v>23</v>
      </c>
      <c r="O398" s="93">
        <v>1.07592</v>
      </c>
      <c r="P398" s="93">
        <f t="shared" si="148"/>
        <v>1.07592</v>
      </c>
      <c r="Q398" s="93">
        <v>2.1499999999999999E-4</v>
      </c>
      <c r="R398" s="93">
        <f t="shared" si="149"/>
        <v>2.1499999999999999E-4</v>
      </c>
      <c r="S398" s="93">
        <v>0</v>
      </c>
      <c r="T398" s="94">
        <f t="shared" si="150"/>
        <v>0</v>
      </c>
      <c r="V398" s="123" t="s">
        <v>950</v>
      </c>
      <c r="W398" s="96"/>
      <c r="AR398" s="95" t="s">
        <v>147</v>
      </c>
      <c r="AT398" s="95" t="s">
        <v>90</v>
      </c>
      <c r="AU398" s="95" t="s">
        <v>94</v>
      </c>
      <c r="AY398" s="7" t="s">
        <v>88</v>
      </c>
      <c r="BE398" s="96">
        <f t="shared" si="151"/>
        <v>0</v>
      </c>
      <c r="BF398" s="96">
        <f t="shared" si="152"/>
        <v>0</v>
      </c>
      <c r="BG398" s="96">
        <f t="shared" si="153"/>
        <v>0</v>
      </c>
      <c r="BH398" s="96">
        <f t="shared" si="154"/>
        <v>0</v>
      </c>
      <c r="BI398" s="96">
        <f t="shared" si="155"/>
        <v>0</v>
      </c>
      <c r="BJ398" s="7" t="s">
        <v>94</v>
      </c>
      <c r="BK398" s="96">
        <f t="shared" si="156"/>
        <v>0</v>
      </c>
      <c r="BL398" s="7" t="s">
        <v>147</v>
      </c>
      <c r="BM398" s="95" t="s">
        <v>733</v>
      </c>
    </row>
    <row r="399" spans="2:65" s="1" customFormat="1" ht="41.1" customHeight="1">
      <c r="B399" s="83"/>
      <c r="C399" s="84">
        <v>242</v>
      </c>
      <c r="D399" s="84" t="s">
        <v>90</v>
      </c>
      <c r="E399" s="85" t="s">
        <v>734</v>
      </c>
      <c r="F399" s="86" t="s">
        <v>991</v>
      </c>
      <c r="G399" s="87" t="s">
        <v>160</v>
      </c>
      <c r="H399" s="88">
        <v>1</v>
      </c>
      <c r="I399" s="89"/>
      <c r="J399" s="89">
        <f t="shared" si="147"/>
        <v>0</v>
      </c>
      <c r="K399" s="90"/>
      <c r="L399" s="15"/>
      <c r="M399" s="91" t="s">
        <v>0</v>
      </c>
      <c r="N399" s="92" t="s">
        <v>23</v>
      </c>
      <c r="O399" s="93">
        <v>1.07592</v>
      </c>
      <c r="P399" s="93">
        <f t="shared" si="148"/>
        <v>1.07592</v>
      </c>
      <c r="Q399" s="93">
        <v>2.1499999999999999E-4</v>
      </c>
      <c r="R399" s="93">
        <f t="shared" si="149"/>
        <v>2.1499999999999999E-4</v>
      </c>
      <c r="S399" s="93">
        <v>0</v>
      </c>
      <c r="T399" s="94">
        <f t="shared" si="150"/>
        <v>0</v>
      </c>
      <c r="V399" s="123" t="s">
        <v>950</v>
      </c>
      <c r="W399" s="96"/>
      <c r="AR399" s="95" t="s">
        <v>147</v>
      </c>
      <c r="AT399" s="95" t="s">
        <v>90</v>
      </c>
      <c r="AU399" s="95" t="s">
        <v>94</v>
      </c>
      <c r="AY399" s="7" t="s">
        <v>88</v>
      </c>
      <c r="BE399" s="96">
        <f t="shared" si="151"/>
        <v>0</v>
      </c>
      <c r="BF399" s="96">
        <f t="shared" si="152"/>
        <v>0</v>
      </c>
      <c r="BG399" s="96">
        <f t="shared" si="153"/>
        <v>0</v>
      </c>
      <c r="BH399" s="96">
        <f t="shared" si="154"/>
        <v>0</v>
      </c>
      <c r="BI399" s="96">
        <f t="shared" si="155"/>
        <v>0</v>
      </c>
      <c r="BJ399" s="7" t="s">
        <v>94</v>
      </c>
      <c r="BK399" s="96">
        <f t="shared" si="156"/>
        <v>0</v>
      </c>
      <c r="BL399" s="7" t="s">
        <v>147</v>
      </c>
      <c r="BM399" s="95" t="s">
        <v>735</v>
      </c>
    </row>
    <row r="400" spans="2:65" s="1" customFormat="1" ht="15.75" customHeight="1">
      <c r="B400" s="83"/>
      <c r="C400" s="84">
        <v>243</v>
      </c>
      <c r="D400" s="84" t="s">
        <v>90</v>
      </c>
      <c r="E400" s="85" t="s">
        <v>736</v>
      </c>
      <c r="F400" s="86" t="s">
        <v>992</v>
      </c>
      <c r="G400" s="87" t="s">
        <v>160</v>
      </c>
      <c r="H400" s="88">
        <v>1</v>
      </c>
      <c r="I400" s="89"/>
      <c r="J400" s="89">
        <f t="shared" si="147"/>
        <v>0</v>
      </c>
      <c r="K400" s="90"/>
      <c r="L400" s="15"/>
      <c r="M400" s="91" t="s">
        <v>0</v>
      </c>
      <c r="N400" s="92" t="s">
        <v>23</v>
      </c>
      <c r="O400" s="93">
        <v>1.07592</v>
      </c>
      <c r="P400" s="93">
        <f t="shared" si="148"/>
        <v>1.07592</v>
      </c>
      <c r="Q400" s="93">
        <v>2.1499999999999999E-4</v>
      </c>
      <c r="R400" s="93">
        <f t="shared" si="149"/>
        <v>2.1499999999999999E-4</v>
      </c>
      <c r="S400" s="93">
        <v>0</v>
      </c>
      <c r="T400" s="94">
        <f t="shared" si="150"/>
        <v>0</v>
      </c>
      <c r="V400" s="123" t="s">
        <v>950</v>
      </c>
      <c r="W400" s="96"/>
      <c r="AR400" s="95" t="s">
        <v>147</v>
      </c>
      <c r="AT400" s="95" t="s">
        <v>90</v>
      </c>
      <c r="AU400" s="95" t="s">
        <v>94</v>
      </c>
      <c r="AY400" s="7" t="s">
        <v>88</v>
      </c>
      <c r="BE400" s="96">
        <f t="shared" si="151"/>
        <v>0</v>
      </c>
      <c r="BF400" s="96">
        <f t="shared" si="152"/>
        <v>0</v>
      </c>
      <c r="BG400" s="96">
        <f t="shared" si="153"/>
        <v>0</v>
      </c>
      <c r="BH400" s="96">
        <f t="shared" si="154"/>
        <v>0</v>
      </c>
      <c r="BI400" s="96">
        <f t="shared" si="155"/>
        <v>0</v>
      </c>
      <c r="BJ400" s="7" t="s">
        <v>94</v>
      </c>
      <c r="BK400" s="96">
        <f t="shared" si="156"/>
        <v>0</v>
      </c>
      <c r="BL400" s="7" t="s">
        <v>147</v>
      </c>
      <c r="BM400" s="95" t="s">
        <v>737</v>
      </c>
    </row>
    <row r="401" spans="2:65" s="1" customFormat="1" ht="15.75" customHeight="1">
      <c r="B401" s="83"/>
      <c r="C401" s="84">
        <v>244</v>
      </c>
      <c r="D401" s="84" t="s">
        <v>90</v>
      </c>
      <c r="E401" s="85" t="s">
        <v>738</v>
      </c>
      <c r="F401" s="86" t="s">
        <v>993</v>
      </c>
      <c r="G401" s="87" t="s">
        <v>160</v>
      </c>
      <c r="H401" s="88">
        <v>1</v>
      </c>
      <c r="I401" s="89"/>
      <c r="J401" s="89">
        <f t="shared" si="147"/>
        <v>0</v>
      </c>
      <c r="K401" s="90"/>
      <c r="L401" s="15"/>
      <c r="M401" s="91" t="s">
        <v>0</v>
      </c>
      <c r="N401" s="92" t="s">
        <v>23</v>
      </c>
      <c r="O401" s="93">
        <v>1.07592</v>
      </c>
      <c r="P401" s="93">
        <f t="shared" si="148"/>
        <v>1.07592</v>
      </c>
      <c r="Q401" s="93">
        <v>2.1499999999999999E-4</v>
      </c>
      <c r="R401" s="93">
        <f t="shared" si="149"/>
        <v>2.1499999999999999E-4</v>
      </c>
      <c r="S401" s="93">
        <v>0</v>
      </c>
      <c r="T401" s="94">
        <f t="shared" si="150"/>
        <v>0</v>
      </c>
      <c r="V401" s="123" t="s">
        <v>950</v>
      </c>
      <c r="W401" s="96"/>
      <c r="AR401" s="95" t="s">
        <v>147</v>
      </c>
      <c r="AT401" s="95" t="s">
        <v>90</v>
      </c>
      <c r="AU401" s="95" t="s">
        <v>94</v>
      </c>
      <c r="AY401" s="7" t="s">
        <v>88</v>
      </c>
      <c r="BE401" s="96">
        <f t="shared" si="151"/>
        <v>0</v>
      </c>
      <c r="BF401" s="96">
        <f t="shared" si="152"/>
        <v>0</v>
      </c>
      <c r="BG401" s="96">
        <f t="shared" si="153"/>
        <v>0</v>
      </c>
      <c r="BH401" s="96">
        <f t="shared" si="154"/>
        <v>0</v>
      </c>
      <c r="BI401" s="96">
        <f t="shared" si="155"/>
        <v>0</v>
      </c>
      <c r="BJ401" s="7" t="s">
        <v>94</v>
      </c>
      <c r="BK401" s="96">
        <f t="shared" si="156"/>
        <v>0</v>
      </c>
      <c r="BL401" s="7" t="s">
        <v>147</v>
      </c>
      <c r="BM401" s="95" t="s">
        <v>739</v>
      </c>
    </row>
    <row r="402" spans="2:65" s="1" customFormat="1" ht="41.1" customHeight="1">
      <c r="B402" s="83"/>
      <c r="C402" s="84">
        <v>245</v>
      </c>
      <c r="D402" s="84" t="s">
        <v>90</v>
      </c>
      <c r="E402" s="85" t="s">
        <v>740</v>
      </c>
      <c r="F402" s="86" t="s">
        <v>883</v>
      </c>
      <c r="G402" s="87" t="s">
        <v>160</v>
      </c>
      <c r="H402" s="88">
        <v>1</v>
      </c>
      <c r="I402" s="89"/>
      <c r="J402" s="89">
        <f t="shared" si="147"/>
        <v>0</v>
      </c>
      <c r="K402" s="90"/>
      <c r="L402" s="15"/>
      <c r="M402" s="91" t="s">
        <v>0</v>
      </c>
      <c r="N402" s="92" t="s">
        <v>23</v>
      </c>
      <c r="O402" s="93">
        <v>1.07592</v>
      </c>
      <c r="P402" s="93">
        <f t="shared" si="148"/>
        <v>1.07592</v>
      </c>
      <c r="Q402" s="93">
        <v>2.1499999999999999E-4</v>
      </c>
      <c r="R402" s="93">
        <f t="shared" si="149"/>
        <v>2.1499999999999999E-4</v>
      </c>
      <c r="S402" s="93">
        <v>0</v>
      </c>
      <c r="T402" s="94">
        <f t="shared" si="150"/>
        <v>0</v>
      </c>
      <c r="V402" s="123" t="s">
        <v>950</v>
      </c>
      <c r="W402" s="96"/>
      <c r="AR402" s="95" t="s">
        <v>147</v>
      </c>
      <c r="AT402" s="95" t="s">
        <v>90</v>
      </c>
      <c r="AU402" s="95" t="s">
        <v>94</v>
      </c>
      <c r="AY402" s="7" t="s">
        <v>88</v>
      </c>
      <c r="BE402" s="96">
        <f t="shared" si="151"/>
        <v>0</v>
      </c>
      <c r="BF402" s="96">
        <f t="shared" si="152"/>
        <v>0</v>
      </c>
      <c r="BG402" s="96">
        <f t="shared" si="153"/>
        <v>0</v>
      </c>
      <c r="BH402" s="96">
        <f t="shared" si="154"/>
        <v>0</v>
      </c>
      <c r="BI402" s="96">
        <f t="shared" si="155"/>
        <v>0</v>
      </c>
      <c r="BJ402" s="7" t="s">
        <v>94</v>
      </c>
      <c r="BK402" s="96">
        <f t="shared" si="156"/>
        <v>0</v>
      </c>
      <c r="BL402" s="7" t="s">
        <v>147</v>
      </c>
      <c r="BM402" s="95" t="s">
        <v>741</v>
      </c>
    </row>
    <row r="403" spans="2:65" s="1" customFormat="1" ht="18.75" customHeight="1">
      <c r="B403" s="83"/>
      <c r="C403" s="84">
        <v>246</v>
      </c>
      <c r="D403" s="84" t="s">
        <v>90</v>
      </c>
      <c r="E403" s="85" t="s">
        <v>742</v>
      </c>
      <c r="F403" s="86" t="s">
        <v>994</v>
      </c>
      <c r="G403" s="87" t="s">
        <v>160</v>
      </c>
      <c r="H403" s="88">
        <v>1</v>
      </c>
      <c r="I403" s="89"/>
      <c r="J403" s="89">
        <f t="shared" si="147"/>
        <v>0</v>
      </c>
      <c r="K403" s="90"/>
      <c r="L403" s="15"/>
      <c r="M403" s="91" t="s">
        <v>0</v>
      </c>
      <c r="N403" s="92" t="s">
        <v>23</v>
      </c>
      <c r="O403" s="93">
        <v>1.07592</v>
      </c>
      <c r="P403" s="93">
        <f t="shared" si="148"/>
        <v>1.07592</v>
      </c>
      <c r="Q403" s="93">
        <v>2.1499999999999999E-4</v>
      </c>
      <c r="R403" s="93">
        <f t="shared" si="149"/>
        <v>2.1499999999999999E-4</v>
      </c>
      <c r="S403" s="93">
        <v>0</v>
      </c>
      <c r="T403" s="94">
        <f t="shared" si="150"/>
        <v>0</v>
      </c>
      <c r="V403" s="123" t="s">
        <v>950</v>
      </c>
      <c r="W403" s="96"/>
      <c r="AR403" s="95" t="s">
        <v>147</v>
      </c>
      <c r="AT403" s="95" t="s">
        <v>90</v>
      </c>
      <c r="AU403" s="95" t="s">
        <v>94</v>
      </c>
      <c r="AY403" s="7" t="s">
        <v>88</v>
      </c>
      <c r="BE403" s="96">
        <f t="shared" si="151"/>
        <v>0</v>
      </c>
      <c r="BF403" s="96">
        <f t="shared" si="152"/>
        <v>0</v>
      </c>
      <c r="BG403" s="96">
        <f t="shared" si="153"/>
        <v>0</v>
      </c>
      <c r="BH403" s="96">
        <f t="shared" si="154"/>
        <v>0</v>
      </c>
      <c r="BI403" s="96">
        <f t="shared" si="155"/>
        <v>0</v>
      </c>
      <c r="BJ403" s="7" t="s">
        <v>94</v>
      </c>
      <c r="BK403" s="96">
        <f t="shared" si="156"/>
        <v>0</v>
      </c>
      <c r="BL403" s="7" t="s">
        <v>147</v>
      </c>
      <c r="BM403" s="95" t="s">
        <v>743</v>
      </c>
    </row>
    <row r="404" spans="2:65" s="1" customFormat="1" ht="18.75" customHeight="1">
      <c r="B404" s="83"/>
      <c r="C404" s="84">
        <v>247</v>
      </c>
      <c r="D404" s="84" t="s">
        <v>90</v>
      </c>
      <c r="E404" s="85" t="s">
        <v>744</v>
      </c>
      <c r="F404" s="86" t="s">
        <v>995</v>
      </c>
      <c r="G404" s="87" t="s">
        <v>160</v>
      </c>
      <c r="H404" s="88">
        <v>1</v>
      </c>
      <c r="I404" s="89"/>
      <c r="J404" s="89">
        <f t="shared" si="147"/>
        <v>0</v>
      </c>
      <c r="K404" s="90"/>
      <c r="L404" s="15"/>
      <c r="M404" s="91" t="s">
        <v>0</v>
      </c>
      <c r="N404" s="92" t="s">
        <v>23</v>
      </c>
      <c r="O404" s="93">
        <v>1.07592</v>
      </c>
      <c r="P404" s="93">
        <f t="shared" si="148"/>
        <v>1.07592</v>
      </c>
      <c r="Q404" s="93">
        <v>2.1499999999999999E-4</v>
      </c>
      <c r="R404" s="93">
        <f t="shared" si="149"/>
        <v>2.1499999999999999E-4</v>
      </c>
      <c r="S404" s="93">
        <v>0</v>
      </c>
      <c r="T404" s="94">
        <f t="shared" si="150"/>
        <v>0</v>
      </c>
      <c r="V404" s="123" t="s">
        <v>950</v>
      </c>
      <c r="W404" s="96"/>
      <c r="AR404" s="95" t="s">
        <v>147</v>
      </c>
      <c r="AT404" s="95" t="s">
        <v>90</v>
      </c>
      <c r="AU404" s="95" t="s">
        <v>94</v>
      </c>
      <c r="AY404" s="7" t="s">
        <v>88</v>
      </c>
      <c r="BE404" s="96">
        <f t="shared" si="151"/>
        <v>0</v>
      </c>
      <c r="BF404" s="96">
        <f t="shared" si="152"/>
        <v>0</v>
      </c>
      <c r="BG404" s="96">
        <f t="shared" si="153"/>
        <v>0</v>
      </c>
      <c r="BH404" s="96">
        <f t="shared" si="154"/>
        <v>0</v>
      </c>
      <c r="BI404" s="96">
        <f t="shared" si="155"/>
        <v>0</v>
      </c>
      <c r="BJ404" s="7" t="s">
        <v>94</v>
      </c>
      <c r="BK404" s="96">
        <f t="shared" si="156"/>
        <v>0</v>
      </c>
      <c r="BL404" s="7" t="s">
        <v>147</v>
      </c>
      <c r="BM404" s="95" t="s">
        <v>745</v>
      </c>
    </row>
    <row r="405" spans="2:65" s="1" customFormat="1" ht="54.95" customHeight="1">
      <c r="B405" s="83"/>
      <c r="C405" s="84" t="s">
        <v>1007</v>
      </c>
      <c r="D405" s="84" t="s">
        <v>90</v>
      </c>
      <c r="E405" s="129" t="s">
        <v>962</v>
      </c>
      <c r="F405" s="108" t="s">
        <v>996</v>
      </c>
      <c r="G405" s="109" t="s">
        <v>135</v>
      </c>
      <c r="H405" s="88">
        <v>120.78</v>
      </c>
      <c r="I405" s="89"/>
      <c r="J405" s="89">
        <f t="shared" ref="J405" si="157">ROUND(I405*H405,2)</f>
        <v>0</v>
      </c>
      <c r="K405" s="90"/>
      <c r="L405" s="15"/>
      <c r="M405" s="91"/>
      <c r="N405" s="92"/>
      <c r="O405" s="93"/>
      <c r="P405" s="93"/>
      <c r="Q405" s="93"/>
      <c r="R405" s="93"/>
      <c r="S405" s="93"/>
      <c r="T405" s="94"/>
      <c r="V405" s="117" t="s">
        <v>955</v>
      </c>
      <c r="W405" s="96"/>
      <c r="AR405" s="95"/>
      <c r="AT405" s="95"/>
      <c r="AU405" s="95"/>
      <c r="AY405" s="7"/>
      <c r="BE405" s="96"/>
      <c r="BF405" s="96"/>
      <c r="BG405" s="96"/>
      <c r="BH405" s="96"/>
      <c r="BI405" s="96"/>
      <c r="BJ405" s="7"/>
      <c r="BK405" s="96"/>
      <c r="BL405" s="7"/>
      <c r="BM405" s="95"/>
    </row>
    <row r="406" spans="2:65" s="1" customFormat="1" ht="24.2" customHeight="1">
      <c r="B406" s="83"/>
      <c r="C406" s="84">
        <v>248</v>
      </c>
      <c r="D406" s="84" t="s">
        <v>90</v>
      </c>
      <c r="E406" s="85" t="s">
        <v>746</v>
      </c>
      <c r="F406" s="86" t="s">
        <v>747</v>
      </c>
      <c r="G406" s="87" t="s">
        <v>394</v>
      </c>
      <c r="H406" s="88">
        <v>1567.98</v>
      </c>
      <c r="I406" s="89"/>
      <c r="J406" s="89">
        <f t="shared" ref="J406" si="158">ROUND(I406*H406,2)</f>
        <v>0</v>
      </c>
      <c r="K406" s="90"/>
      <c r="L406" s="15"/>
      <c r="M406" s="91" t="s">
        <v>0</v>
      </c>
      <c r="N406" s="92" t="s">
        <v>23</v>
      </c>
      <c r="O406" s="93">
        <v>0</v>
      </c>
      <c r="P406" s="93">
        <f t="shared" ref="P406" si="159">O406*H406</f>
        <v>0</v>
      </c>
      <c r="Q406" s="93">
        <v>0</v>
      </c>
      <c r="R406" s="93">
        <f t="shared" ref="R406" si="160">Q406*H406</f>
        <v>0</v>
      </c>
      <c r="S406" s="93">
        <v>0</v>
      </c>
      <c r="T406" s="94">
        <f t="shared" ref="T406" si="161">S406*H406</f>
        <v>0</v>
      </c>
      <c r="V406" s="123" t="s">
        <v>950</v>
      </c>
      <c r="AR406" s="95" t="s">
        <v>147</v>
      </c>
      <c r="AT406" s="95" t="s">
        <v>90</v>
      </c>
      <c r="AU406" s="95" t="s">
        <v>94</v>
      </c>
      <c r="AY406" s="7" t="s">
        <v>88</v>
      </c>
      <c r="BE406" s="96">
        <f t="shared" ref="BE406" si="162">IF(N406="základná",J406,0)</f>
        <v>0</v>
      </c>
      <c r="BF406" s="96">
        <f t="shared" ref="BF406" si="163">IF(N406="znížená",J406,0)</f>
        <v>0</v>
      </c>
      <c r="BG406" s="96">
        <f t="shared" ref="BG406" si="164">IF(N406="zákl. prenesená",J406,0)</f>
        <v>0</v>
      </c>
      <c r="BH406" s="96">
        <f t="shared" ref="BH406" si="165">IF(N406="zníž. prenesená",J406,0)</f>
        <v>0</v>
      </c>
      <c r="BI406" s="96">
        <f t="shared" ref="BI406" si="166">IF(N406="nulová",J406,0)</f>
        <v>0</v>
      </c>
      <c r="BJ406" s="7" t="s">
        <v>94</v>
      </c>
      <c r="BK406" s="96">
        <f t="shared" ref="BK406" si="167">ROUND(I406*H406,2)</f>
        <v>0</v>
      </c>
      <c r="BL406" s="7" t="s">
        <v>147</v>
      </c>
      <c r="BM406" s="95" t="s">
        <v>748</v>
      </c>
    </row>
    <row r="407" spans="2:65" s="6" customFormat="1" ht="22.9" customHeight="1">
      <c r="B407" s="72"/>
      <c r="D407" s="73" t="s">
        <v>39</v>
      </c>
      <c r="E407" s="81" t="s">
        <v>749</v>
      </c>
      <c r="F407" s="81" t="s">
        <v>750</v>
      </c>
      <c r="J407" s="82">
        <f>SUM(J408:J413)</f>
        <v>0</v>
      </c>
      <c r="L407" s="72"/>
      <c r="M407" s="76"/>
      <c r="P407" s="77">
        <f>SUM(P408:P413)</f>
        <v>293.69359399999996</v>
      </c>
      <c r="R407" s="77">
        <f>SUM(R408:R413)</f>
        <v>7.2062271400000002</v>
      </c>
      <c r="T407" s="78">
        <f>SUM(T408:T413)</f>
        <v>0</v>
      </c>
      <c r="AR407" s="73" t="s">
        <v>94</v>
      </c>
      <c r="AT407" s="79" t="s">
        <v>39</v>
      </c>
      <c r="AU407" s="79" t="s">
        <v>41</v>
      </c>
      <c r="AY407" s="73" t="s">
        <v>88</v>
      </c>
      <c r="BK407" s="80">
        <f>SUM(BK408:BK413)</f>
        <v>0</v>
      </c>
    </row>
    <row r="408" spans="2:65" s="1" customFormat="1" ht="24.2" customHeight="1">
      <c r="B408" s="83"/>
      <c r="C408" s="84">
        <v>249</v>
      </c>
      <c r="D408" s="84" t="s">
        <v>90</v>
      </c>
      <c r="E408" s="85" t="s">
        <v>751</v>
      </c>
      <c r="F408" s="86" t="s">
        <v>888</v>
      </c>
      <c r="G408" s="87" t="s">
        <v>145</v>
      </c>
      <c r="H408" s="88">
        <v>167.8</v>
      </c>
      <c r="I408" s="89"/>
      <c r="J408" s="89">
        <f t="shared" ref="J408:J413" si="168">ROUND(I408*H408,2)</f>
        <v>0</v>
      </c>
      <c r="K408" s="90"/>
      <c r="L408" s="15"/>
      <c r="M408" s="91" t="s">
        <v>0</v>
      </c>
      <c r="N408" s="92" t="s">
        <v>23</v>
      </c>
      <c r="O408" s="93">
        <v>0.29643000000000003</v>
      </c>
      <c r="P408" s="93">
        <f t="shared" ref="P408:P413" si="169">O408*H408</f>
        <v>49.740954000000009</v>
      </c>
      <c r="Q408" s="93">
        <v>1.1831999999999999E-3</v>
      </c>
      <c r="R408" s="93">
        <f t="shared" ref="R408:R413" si="170">Q408*H408</f>
        <v>0.19854095999999999</v>
      </c>
      <c r="S408" s="93">
        <v>0</v>
      </c>
      <c r="T408" s="94">
        <f t="shared" ref="T408:T413" si="171">S408*H408</f>
        <v>0</v>
      </c>
      <c r="V408" s="127" t="s">
        <v>956</v>
      </c>
      <c r="AR408" s="95" t="s">
        <v>147</v>
      </c>
      <c r="AT408" s="95" t="s">
        <v>90</v>
      </c>
      <c r="AU408" s="95" t="s">
        <v>94</v>
      </c>
      <c r="AY408" s="7" t="s">
        <v>88</v>
      </c>
      <c r="BE408" s="96">
        <f t="shared" ref="BE408:BE413" si="172">IF(N408="základná",J408,0)</f>
        <v>0</v>
      </c>
      <c r="BF408" s="96">
        <f t="shared" ref="BF408:BF413" si="173">IF(N408="znížená",J408,0)</f>
        <v>0</v>
      </c>
      <c r="BG408" s="96">
        <f t="shared" ref="BG408:BG413" si="174">IF(N408="zákl. prenesená",J408,0)</f>
        <v>0</v>
      </c>
      <c r="BH408" s="96">
        <f t="shared" ref="BH408:BH413" si="175">IF(N408="zníž. prenesená",J408,0)</f>
        <v>0</v>
      </c>
      <c r="BI408" s="96">
        <f t="shared" ref="BI408:BI413" si="176">IF(N408="nulová",J408,0)</f>
        <v>0</v>
      </c>
      <c r="BJ408" s="7" t="s">
        <v>94</v>
      </c>
      <c r="BK408" s="96">
        <f t="shared" ref="BK408:BK413" si="177">ROUND(I408*H408,2)</f>
        <v>0</v>
      </c>
      <c r="BL408" s="7" t="s">
        <v>147</v>
      </c>
      <c r="BM408" s="95" t="s">
        <v>752</v>
      </c>
    </row>
    <row r="409" spans="2:65" s="1" customFormat="1" ht="21.75" customHeight="1">
      <c r="B409" s="83"/>
      <c r="C409" s="97">
        <v>250</v>
      </c>
      <c r="D409" s="97" t="s">
        <v>138</v>
      </c>
      <c r="E409" s="98" t="s">
        <v>753</v>
      </c>
      <c r="F409" s="99" t="s">
        <v>889</v>
      </c>
      <c r="G409" s="100" t="s">
        <v>135</v>
      </c>
      <c r="H409" s="101">
        <f>H408*0.11</f>
        <v>18.458000000000002</v>
      </c>
      <c r="I409" s="102"/>
      <c r="J409" s="102">
        <f t="shared" si="168"/>
        <v>0</v>
      </c>
      <c r="K409" s="103"/>
      <c r="L409" s="104"/>
      <c r="M409" s="105" t="s">
        <v>0</v>
      </c>
      <c r="N409" s="106" t="s">
        <v>23</v>
      </c>
      <c r="O409" s="93">
        <v>0</v>
      </c>
      <c r="P409" s="93">
        <f t="shared" si="169"/>
        <v>0</v>
      </c>
      <c r="Q409" s="93">
        <v>8.0999999999999996E-4</v>
      </c>
      <c r="R409" s="93">
        <f t="shared" si="170"/>
        <v>1.4950980000000001E-2</v>
      </c>
      <c r="S409" s="93">
        <v>0</v>
      </c>
      <c r="T409" s="94">
        <f t="shared" si="171"/>
        <v>0</v>
      </c>
      <c r="V409" s="127" t="s">
        <v>956</v>
      </c>
      <c r="AR409" s="95" t="s">
        <v>162</v>
      </c>
      <c r="AT409" s="95" t="s">
        <v>138</v>
      </c>
      <c r="AU409" s="95" t="s">
        <v>94</v>
      </c>
      <c r="AY409" s="7" t="s">
        <v>88</v>
      </c>
      <c r="BE409" s="96">
        <f t="shared" si="172"/>
        <v>0</v>
      </c>
      <c r="BF409" s="96">
        <f t="shared" si="173"/>
        <v>0</v>
      </c>
      <c r="BG409" s="96">
        <f t="shared" si="174"/>
        <v>0</v>
      </c>
      <c r="BH409" s="96">
        <f t="shared" si="175"/>
        <v>0</v>
      </c>
      <c r="BI409" s="96">
        <f t="shared" si="176"/>
        <v>0</v>
      </c>
      <c r="BJ409" s="7" t="s">
        <v>94</v>
      </c>
      <c r="BK409" s="96">
        <f t="shared" si="177"/>
        <v>0</v>
      </c>
      <c r="BL409" s="7" t="s">
        <v>147</v>
      </c>
      <c r="BM409" s="95" t="s">
        <v>754</v>
      </c>
    </row>
    <row r="410" spans="2:65" s="1" customFormat="1" ht="37.9" customHeight="1">
      <c r="B410" s="83"/>
      <c r="C410" s="84">
        <v>251</v>
      </c>
      <c r="D410" s="84" t="s">
        <v>90</v>
      </c>
      <c r="E410" s="85" t="s">
        <v>755</v>
      </c>
      <c r="F410" s="86" t="s">
        <v>756</v>
      </c>
      <c r="G410" s="87" t="s">
        <v>135</v>
      </c>
      <c r="H410" s="88">
        <v>245.92</v>
      </c>
      <c r="I410" s="89"/>
      <c r="J410" s="89">
        <f t="shared" si="168"/>
        <v>0</v>
      </c>
      <c r="K410" s="90"/>
      <c r="L410" s="15"/>
      <c r="M410" s="91" t="s">
        <v>0</v>
      </c>
      <c r="N410" s="92" t="s">
        <v>23</v>
      </c>
      <c r="O410" s="93">
        <v>0.99199999999999999</v>
      </c>
      <c r="P410" s="93">
        <f t="shared" si="169"/>
        <v>243.95263999999997</v>
      </c>
      <c r="Q410" s="93">
        <v>2.97E-3</v>
      </c>
      <c r="R410" s="93">
        <f t="shared" si="170"/>
        <v>0.73038239999999999</v>
      </c>
      <c r="S410" s="93">
        <v>0</v>
      </c>
      <c r="T410" s="94">
        <f t="shared" si="171"/>
        <v>0</v>
      </c>
      <c r="V410" s="127" t="s">
        <v>956</v>
      </c>
      <c r="AR410" s="95" t="s">
        <v>147</v>
      </c>
      <c r="AT410" s="95" t="s">
        <v>90</v>
      </c>
      <c r="AU410" s="95" t="s">
        <v>94</v>
      </c>
      <c r="AY410" s="7" t="s">
        <v>88</v>
      </c>
      <c r="BE410" s="96">
        <f t="shared" si="172"/>
        <v>0</v>
      </c>
      <c r="BF410" s="96">
        <f t="shared" si="173"/>
        <v>0</v>
      </c>
      <c r="BG410" s="96">
        <f t="shared" si="174"/>
        <v>0</v>
      </c>
      <c r="BH410" s="96">
        <f t="shared" si="175"/>
        <v>0</v>
      </c>
      <c r="BI410" s="96">
        <f t="shared" si="176"/>
        <v>0</v>
      </c>
      <c r="BJ410" s="7" t="s">
        <v>94</v>
      </c>
      <c r="BK410" s="96">
        <f t="shared" si="177"/>
        <v>0</v>
      </c>
      <c r="BL410" s="7" t="s">
        <v>147</v>
      </c>
      <c r="BM410" s="95" t="s">
        <v>757</v>
      </c>
    </row>
    <row r="411" spans="2:65" s="1" customFormat="1" ht="16.5" customHeight="1">
      <c r="B411" s="83"/>
      <c r="C411" s="97">
        <v>252</v>
      </c>
      <c r="D411" s="97" t="s">
        <v>138</v>
      </c>
      <c r="E411" s="98" t="s">
        <v>758</v>
      </c>
      <c r="F411" s="99" t="s">
        <v>887</v>
      </c>
      <c r="G411" s="100" t="s">
        <v>135</v>
      </c>
      <c r="H411" s="101">
        <f>H410*1.1</f>
        <v>270.512</v>
      </c>
      <c r="I411" s="102"/>
      <c r="J411" s="102">
        <f t="shared" si="168"/>
        <v>0</v>
      </c>
      <c r="K411" s="103"/>
      <c r="L411" s="104"/>
      <c r="M411" s="105" t="s">
        <v>0</v>
      </c>
      <c r="N411" s="106" t="s">
        <v>23</v>
      </c>
      <c r="O411" s="93">
        <v>0</v>
      </c>
      <c r="P411" s="93">
        <f t="shared" si="169"/>
        <v>0</v>
      </c>
      <c r="Q411" s="93">
        <v>2.315E-2</v>
      </c>
      <c r="R411" s="93">
        <f t="shared" si="170"/>
        <v>6.2623528000000004</v>
      </c>
      <c r="S411" s="93">
        <v>0</v>
      </c>
      <c r="T411" s="94">
        <f t="shared" si="171"/>
        <v>0</v>
      </c>
      <c r="V411" s="127" t="s">
        <v>956</v>
      </c>
      <c r="AR411" s="95" t="s">
        <v>162</v>
      </c>
      <c r="AT411" s="95" t="s">
        <v>138</v>
      </c>
      <c r="AU411" s="95" t="s">
        <v>94</v>
      </c>
      <c r="AY411" s="7" t="s">
        <v>88</v>
      </c>
      <c r="BE411" s="96">
        <f t="shared" si="172"/>
        <v>0</v>
      </c>
      <c r="BF411" s="96">
        <f t="shared" si="173"/>
        <v>0</v>
      </c>
      <c r="BG411" s="96">
        <f t="shared" si="174"/>
        <v>0</v>
      </c>
      <c r="BH411" s="96">
        <f t="shared" si="175"/>
        <v>0</v>
      </c>
      <c r="BI411" s="96">
        <f t="shared" si="176"/>
        <v>0</v>
      </c>
      <c r="BJ411" s="7" t="s">
        <v>94</v>
      </c>
      <c r="BK411" s="96">
        <f t="shared" si="177"/>
        <v>0</v>
      </c>
      <c r="BL411" s="7" t="s">
        <v>147</v>
      </c>
      <c r="BM411" s="95" t="s">
        <v>759</v>
      </c>
    </row>
    <row r="412" spans="2:65" s="133" customFormat="1" ht="70.5" customHeight="1">
      <c r="B412" s="83"/>
      <c r="C412" s="141" t="s">
        <v>1017</v>
      </c>
      <c r="D412" s="141" t="s">
        <v>90</v>
      </c>
      <c r="E412" s="142" t="s">
        <v>1018</v>
      </c>
      <c r="F412" s="143" t="s">
        <v>1019</v>
      </c>
      <c r="G412" s="87" t="s">
        <v>135</v>
      </c>
      <c r="H412" s="88">
        <v>1.88</v>
      </c>
      <c r="I412" s="89"/>
      <c r="J412" s="89">
        <f t="shared" ref="J412" si="178">ROUND(I412*H412,2)</f>
        <v>0</v>
      </c>
      <c r="K412" s="103"/>
      <c r="L412" s="104"/>
      <c r="M412" s="105"/>
      <c r="N412" s="106"/>
      <c r="O412" s="93"/>
      <c r="P412" s="93"/>
      <c r="Q412" s="93"/>
      <c r="R412" s="93"/>
      <c r="S412" s="93"/>
      <c r="T412" s="94"/>
      <c r="V412" s="127"/>
      <c r="AR412" s="95"/>
      <c r="AT412" s="95"/>
      <c r="AU412" s="95"/>
      <c r="AY412" s="7"/>
      <c r="BE412" s="96"/>
      <c r="BF412" s="96"/>
      <c r="BG412" s="96"/>
      <c r="BH412" s="96"/>
      <c r="BI412" s="96"/>
      <c r="BJ412" s="7"/>
      <c r="BK412" s="96"/>
      <c r="BL412" s="7"/>
      <c r="BM412" s="95"/>
    </row>
    <row r="413" spans="2:65" s="1" customFormat="1" ht="24.2" customHeight="1">
      <c r="B413" s="83"/>
      <c r="C413" s="84">
        <v>253</v>
      </c>
      <c r="D413" s="84" t="s">
        <v>90</v>
      </c>
      <c r="E413" s="85" t="s">
        <v>760</v>
      </c>
      <c r="F413" s="86" t="s">
        <v>761</v>
      </c>
      <c r="G413" s="87" t="s">
        <v>394</v>
      </c>
      <c r="H413" s="88">
        <v>186.358</v>
      </c>
      <c r="I413" s="89"/>
      <c r="J413" s="89">
        <f t="shared" si="168"/>
        <v>0</v>
      </c>
      <c r="K413" s="90"/>
      <c r="L413" s="15"/>
      <c r="M413" s="91" t="s">
        <v>0</v>
      </c>
      <c r="N413" s="92" t="s">
        <v>23</v>
      </c>
      <c r="O413" s="93">
        <v>0</v>
      </c>
      <c r="P413" s="93">
        <f t="shared" si="169"/>
        <v>0</v>
      </c>
      <c r="Q413" s="93">
        <v>0</v>
      </c>
      <c r="R413" s="93">
        <f t="shared" si="170"/>
        <v>0</v>
      </c>
      <c r="S413" s="93">
        <v>0</v>
      </c>
      <c r="T413" s="94">
        <f t="shared" si="171"/>
        <v>0</v>
      </c>
      <c r="V413" s="127" t="s">
        <v>956</v>
      </c>
      <c r="AR413" s="95" t="s">
        <v>147</v>
      </c>
      <c r="AT413" s="95" t="s">
        <v>90</v>
      </c>
      <c r="AU413" s="95" t="s">
        <v>94</v>
      </c>
      <c r="AY413" s="7" t="s">
        <v>88</v>
      </c>
      <c r="BE413" s="96">
        <f t="shared" si="172"/>
        <v>0</v>
      </c>
      <c r="BF413" s="96">
        <f t="shared" si="173"/>
        <v>0</v>
      </c>
      <c r="BG413" s="96">
        <f t="shared" si="174"/>
        <v>0</v>
      </c>
      <c r="BH413" s="96">
        <f t="shared" si="175"/>
        <v>0</v>
      </c>
      <c r="BI413" s="96">
        <f t="shared" si="176"/>
        <v>0</v>
      </c>
      <c r="BJ413" s="7" t="s">
        <v>94</v>
      </c>
      <c r="BK413" s="96">
        <f t="shared" si="177"/>
        <v>0</v>
      </c>
      <c r="BL413" s="7" t="s">
        <v>147</v>
      </c>
      <c r="BM413" s="95" t="s">
        <v>762</v>
      </c>
    </row>
    <row r="414" spans="2:65" s="6" customFormat="1" ht="22.9" customHeight="1">
      <c r="B414" s="72"/>
      <c r="D414" s="73" t="s">
        <v>39</v>
      </c>
      <c r="E414" s="81" t="s">
        <v>763</v>
      </c>
      <c r="F414" s="81" t="s">
        <v>764</v>
      </c>
      <c r="J414" s="82">
        <f>SUM(J415:J423)</f>
        <v>0</v>
      </c>
      <c r="L414" s="72"/>
      <c r="M414" s="76"/>
      <c r="P414" s="77">
        <f>SUM(P415:P423)</f>
        <v>342.01481631999997</v>
      </c>
      <c r="R414" s="77">
        <f>SUM(R415:R423)</f>
        <v>32.049038546159998</v>
      </c>
      <c r="T414" s="78">
        <f>SUM(T415:T423)</f>
        <v>0</v>
      </c>
      <c r="AR414" s="73" t="s">
        <v>94</v>
      </c>
      <c r="AT414" s="79" t="s">
        <v>39</v>
      </c>
      <c r="AU414" s="79" t="s">
        <v>41</v>
      </c>
      <c r="AY414" s="73" t="s">
        <v>88</v>
      </c>
      <c r="BK414" s="80">
        <f>SUM(BK415:BK423)</f>
        <v>0</v>
      </c>
    </row>
    <row r="415" spans="2:65" s="1" customFormat="1" ht="24.2" customHeight="1">
      <c r="B415" s="83"/>
      <c r="C415" s="84">
        <v>254</v>
      </c>
      <c r="D415" s="84" t="s">
        <v>90</v>
      </c>
      <c r="E415" s="85" t="s">
        <v>765</v>
      </c>
      <c r="F415" s="86" t="s">
        <v>766</v>
      </c>
      <c r="G415" s="87" t="s">
        <v>145</v>
      </c>
      <c r="H415" s="88">
        <f>H416*3.8</f>
        <v>165.07199999999997</v>
      </c>
      <c r="I415" s="89"/>
      <c r="J415" s="89">
        <f t="shared" ref="J415:J423" si="179">ROUND(I415*H415,2)</f>
        <v>0</v>
      </c>
      <c r="K415" s="90"/>
      <c r="L415" s="15"/>
      <c r="M415" s="91" t="s">
        <v>0</v>
      </c>
      <c r="N415" s="92" t="s">
        <v>23</v>
      </c>
      <c r="O415" s="93">
        <v>0.64337999999999995</v>
      </c>
      <c r="P415" s="93">
        <f t="shared" ref="P415:P423" si="180">O415*H415</f>
        <v>106.20402335999998</v>
      </c>
      <c r="Q415" s="93">
        <v>4.4250230000000002E-2</v>
      </c>
      <c r="R415" s="93">
        <f t="shared" ref="R415:R423" si="181">Q415*H415</f>
        <v>7.3044739665599989</v>
      </c>
      <c r="S415" s="93">
        <v>0</v>
      </c>
      <c r="T415" s="94">
        <f t="shared" ref="T415:T423" si="182">S415*H415</f>
        <v>0</v>
      </c>
      <c r="V415" s="127" t="s">
        <v>956</v>
      </c>
      <c r="AR415" s="95" t="s">
        <v>147</v>
      </c>
      <c r="AT415" s="95" t="s">
        <v>90</v>
      </c>
      <c r="AU415" s="95" t="s">
        <v>94</v>
      </c>
      <c r="AY415" s="7" t="s">
        <v>88</v>
      </c>
      <c r="BE415" s="96">
        <f t="shared" ref="BE415:BE423" si="183">IF(N415="základná",J415,0)</f>
        <v>0</v>
      </c>
      <c r="BF415" s="96">
        <f t="shared" ref="BF415:BF423" si="184">IF(N415="znížená",J415,0)</f>
        <v>0</v>
      </c>
      <c r="BG415" s="96">
        <f t="shared" ref="BG415:BG423" si="185">IF(N415="zákl. prenesená",J415,0)</f>
        <v>0</v>
      </c>
      <c r="BH415" s="96">
        <f t="shared" ref="BH415:BH423" si="186">IF(N415="zníž. prenesená",J415,0)</f>
        <v>0</v>
      </c>
      <c r="BI415" s="96">
        <f t="shared" ref="BI415:BI423" si="187">IF(N415="nulová",J415,0)</f>
        <v>0</v>
      </c>
      <c r="BJ415" s="7" t="s">
        <v>94</v>
      </c>
      <c r="BK415" s="96">
        <f t="shared" ref="BK415:BK423" si="188">ROUND(I415*H415,2)</f>
        <v>0</v>
      </c>
      <c r="BL415" s="7" t="s">
        <v>147</v>
      </c>
      <c r="BM415" s="95" t="s">
        <v>767</v>
      </c>
    </row>
    <row r="416" spans="2:65" s="1" customFormat="1" ht="21.75" customHeight="1">
      <c r="B416" s="83"/>
      <c r="C416" s="97">
        <v>255</v>
      </c>
      <c r="D416" s="97" t="s">
        <v>138</v>
      </c>
      <c r="E416" s="98" t="s">
        <v>768</v>
      </c>
      <c r="F416" s="99" t="s">
        <v>937</v>
      </c>
      <c r="G416" s="100" t="s">
        <v>135</v>
      </c>
      <c r="H416" s="101">
        <v>43.44</v>
      </c>
      <c r="I416" s="102"/>
      <c r="J416" s="102">
        <f t="shared" si="179"/>
        <v>0</v>
      </c>
      <c r="K416" s="103"/>
      <c r="L416" s="104"/>
      <c r="M416" s="105" t="s">
        <v>0</v>
      </c>
      <c r="N416" s="106" t="s">
        <v>23</v>
      </c>
      <c r="O416" s="93">
        <v>0</v>
      </c>
      <c r="P416" s="93">
        <f t="shared" si="180"/>
        <v>0</v>
      </c>
      <c r="Q416" s="93">
        <v>8.4000000000000005E-2</v>
      </c>
      <c r="R416" s="93">
        <f t="shared" si="181"/>
        <v>3.6489600000000002</v>
      </c>
      <c r="S416" s="93">
        <v>0</v>
      </c>
      <c r="T416" s="94">
        <f t="shared" si="182"/>
        <v>0</v>
      </c>
      <c r="V416" s="127" t="s">
        <v>956</v>
      </c>
      <c r="AR416" s="95" t="s">
        <v>162</v>
      </c>
      <c r="AT416" s="95" t="s">
        <v>138</v>
      </c>
      <c r="AU416" s="95" t="s">
        <v>94</v>
      </c>
      <c r="AY416" s="7" t="s">
        <v>88</v>
      </c>
      <c r="BE416" s="96">
        <f t="shared" si="183"/>
        <v>0</v>
      </c>
      <c r="BF416" s="96">
        <f t="shared" si="184"/>
        <v>0</v>
      </c>
      <c r="BG416" s="96">
        <f t="shared" si="185"/>
        <v>0</v>
      </c>
      <c r="BH416" s="96">
        <f t="shared" si="186"/>
        <v>0</v>
      </c>
      <c r="BI416" s="96">
        <f t="shared" si="187"/>
        <v>0</v>
      </c>
      <c r="BJ416" s="7" t="s">
        <v>94</v>
      </c>
      <c r="BK416" s="96">
        <f t="shared" si="188"/>
        <v>0</v>
      </c>
      <c r="BL416" s="7" t="s">
        <v>147</v>
      </c>
      <c r="BM416" s="95" t="s">
        <v>769</v>
      </c>
    </row>
    <row r="417" spans="2:65" s="1" customFormat="1" ht="31.5" customHeight="1">
      <c r="B417" s="83"/>
      <c r="C417" s="84">
        <v>256</v>
      </c>
      <c r="D417" s="84" t="s">
        <v>90</v>
      </c>
      <c r="E417" s="85" t="s">
        <v>770</v>
      </c>
      <c r="F417" s="86" t="s">
        <v>771</v>
      </c>
      <c r="G417" s="87" t="s">
        <v>145</v>
      </c>
      <c r="H417" s="88">
        <f>H415</f>
        <v>165.07199999999997</v>
      </c>
      <c r="I417" s="89"/>
      <c r="J417" s="89">
        <f t="shared" si="179"/>
        <v>0</v>
      </c>
      <c r="K417" s="90"/>
      <c r="L417" s="15"/>
      <c r="M417" s="91" t="s">
        <v>0</v>
      </c>
      <c r="N417" s="92" t="s">
        <v>23</v>
      </c>
      <c r="O417" s="93">
        <v>0.64300000000000002</v>
      </c>
      <c r="P417" s="93">
        <f t="shared" si="180"/>
        <v>106.14129599999998</v>
      </c>
      <c r="Q417" s="93">
        <v>4.4249999999999998E-2</v>
      </c>
      <c r="R417" s="93">
        <f t="shared" si="181"/>
        <v>7.3044359999999982</v>
      </c>
      <c r="S417" s="93">
        <v>0</v>
      </c>
      <c r="T417" s="94">
        <f t="shared" si="182"/>
        <v>0</v>
      </c>
      <c r="V417" s="127" t="s">
        <v>956</v>
      </c>
      <c r="AR417" s="95" t="s">
        <v>147</v>
      </c>
      <c r="AT417" s="95" t="s">
        <v>90</v>
      </c>
      <c r="AU417" s="95" t="s">
        <v>94</v>
      </c>
      <c r="AY417" s="7" t="s">
        <v>88</v>
      </c>
      <c r="BE417" s="96">
        <f t="shared" si="183"/>
        <v>0</v>
      </c>
      <c r="BF417" s="96">
        <f t="shared" si="184"/>
        <v>0</v>
      </c>
      <c r="BG417" s="96">
        <f t="shared" si="185"/>
        <v>0</v>
      </c>
      <c r="BH417" s="96">
        <f t="shared" si="186"/>
        <v>0</v>
      </c>
      <c r="BI417" s="96">
        <f t="shared" si="187"/>
        <v>0</v>
      </c>
      <c r="BJ417" s="7" t="s">
        <v>94</v>
      </c>
      <c r="BK417" s="96">
        <f t="shared" si="188"/>
        <v>0</v>
      </c>
      <c r="BL417" s="7" t="s">
        <v>147</v>
      </c>
      <c r="BM417" s="95" t="s">
        <v>772</v>
      </c>
    </row>
    <row r="418" spans="2:65" s="1" customFormat="1" ht="24.2" customHeight="1">
      <c r="B418" s="83"/>
      <c r="C418" s="97">
        <v>257</v>
      </c>
      <c r="D418" s="97" t="s">
        <v>138</v>
      </c>
      <c r="E418" s="98" t="s">
        <v>773</v>
      </c>
      <c r="F418" s="99" t="s">
        <v>938</v>
      </c>
      <c r="G418" s="100" t="s">
        <v>145</v>
      </c>
      <c r="H418" s="101">
        <f>H417*1.1</f>
        <v>181.57919999999999</v>
      </c>
      <c r="I418" s="102"/>
      <c r="J418" s="102">
        <f t="shared" si="179"/>
        <v>0</v>
      </c>
      <c r="K418" s="103"/>
      <c r="L418" s="104"/>
      <c r="M418" s="105" t="s">
        <v>0</v>
      </c>
      <c r="N418" s="106" t="s">
        <v>23</v>
      </c>
      <c r="O418" s="93">
        <v>0</v>
      </c>
      <c r="P418" s="93">
        <f t="shared" si="180"/>
        <v>0</v>
      </c>
      <c r="Q418" s="93">
        <v>8.0000000000000002E-3</v>
      </c>
      <c r="R418" s="93">
        <f t="shared" si="181"/>
        <v>1.4526336</v>
      </c>
      <c r="S418" s="93">
        <v>0</v>
      </c>
      <c r="T418" s="94">
        <f t="shared" si="182"/>
        <v>0</v>
      </c>
      <c r="V418" s="127" t="s">
        <v>956</v>
      </c>
      <c r="AR418" s="95" t="s">
        <v>162</v>
      </c>
      <c r="AT418" s="95" t="s">
        <v>138</v>
      </c>
      <c r="AU418" s="95" t="s">
        <v>94</v>
      </c>
      <c r="AY418" s="7" t="s">
        <v>88</v>
      </c>
      <c r="BE418" s="96">
        <f t="shared" si="183"/>
        <v>0</v>
      </c>
      <c r="BF418" s="96">
        <f t="shared" si="184"/>
        <v>0</v>
      </c>
      <c r="BG418" s="96">
        <f t="shared" si="185"/>
        <v>0</v>
      </c>
      <c r="BH418" s="96">
        <f t="shared" si="186"/>
        <v>0</v>
      </c>
      <c r="BI418" s="96">
        <f t="shared" si="187"/>
        <v>0</v>
      </c>
      <c r="BJ418" s="7" t="s">
        <v>94</v>
      </c>
      <c r="BK418" s="96">
        <f t="shared" si="188"/>
        <v>0</v>
      </c>
      <c r="BL418" s="7" t="s">
        <v>147</v>
      </c>
      <c r="BM418" s="95" t="s">
        <v>774</v>
      </c>
    </row>
    <row r="419" spans="2:65" s="1" customFormat="1" ht="24.2" customHeight="1">
      <c r="B419" s="83"/>
      <c r="C419" s="84">
        <v>258</v>
      </c>
      <c r="D419" s="84" t="s">
        <v>90</v>
      </c>
      <c r="E419" s="85" t="s">
        <v>775</v>
      </c>
      <c r="F419" s="86" t="s">
        <v>939</v>
      </c>
      <c r="G419" s="87" t="s">
        <v>145</v>
      </c>
      <c r="H419" s="88">
        <f>H417</f>
        <v>165.07199999999997</v>
      </c>
      <c r="I419" s="89"/>
      <c r="J419" s="89">
        <f t="shared" si="179"/>
        <v>0</v>
      </c>
      <c r="K419" s="90"/>
      <c r="L419" s="15"/>
      <c r="M419" s="91" t="s">
        <v>0</v>
      </c>
      <c r="N419" s="92" t="s">
        <v>23</v>
      </c>
      <c r="O419" s="93">
        <v>0.46716000000000002</v>
      </c>
      <c r="P419" s="93">
        <f t="shared" si="180"/>
        <v>77.115035519999992</v>
      </c>
      <c r="Q419" s="93">
        <v>9.5101100000000004E-3</v>
      </c>
      <c r="R419" s="93">
        <f t="shared" si="181"/>
        <v>1.5698528779199998</v>
      </c>
      <c r="S419" s="93">
        <v>0</v>
      </c>
      <c r="T419" s="94">
        <f t="shared" si="182"/>
        <v>0</v>
      </c>
      <c r="V419" s="127" t="s">
        <v>956</v>
      </c>
      <c r="AR419" s="95" t="s">
        <v>147</v>
      </c>
      <c r="AT419" s="95" t="s">
        <v>90</v>
      </c>
      <c r="AU419" s="95" t="s">
        <v>94</v>
      </c>
      <c r="AY419" s="7" t="s">
        <v>88</v>
      </c>
      <c r="BE419" s="96">
        <f t="shared" si="183"/>
        <v>0</v>
      </c>
      <c r="BF419" s="96">
        <f t="shared" si="184"/>
        <v>0</v>
      </c>
      <c r="BG419" s="96">
        <f t="shared" si="185"/>
        <v>0</v>
      </c>
      <c r="BH419" s="96">
        <f t="shared" si="186"/>
        <v>0</v>
      </c>
      <c r="BI419" s="96">
        <f t="shared" si="187"/>
        <v>0</v>
      </c>
      <c r="BJ419" s="7" t="s">
        <v>94</v>
      </c>
      <c r="BK419" s="96">
        <f t="shared" si="188"/>
        <v>0</v>
      </c>
      <c r="BL419" s="7" t="s">
        <v>147</v>
      </c>
      <c r="BM419" s="95" t="s">
        <v>776</v>
      </c>
    </row>
    <row r="420" spans="2:65" s="1" customFormat="1" ht="24.2" customHeight="1">
      <c r="B420" s="83"/>
      <c r="C420" s="97">
        <v>259</v>
      </c>
      <c r="D420" s="97" t="s">
        <v>138</v>
      </c>
      <c r="E420" s="98" t="s">
        <v>777</v>
      </c>
      <c r="F420" s="99" t="s">
        <v>940</v>
      </c>
      <c r="G420" s="100" t="s">
        <v>145</v>
      </c>
      <c r="H420" s="101">
        <f>H419*1.1</f>
        <v>181.57919999999999</v>
      </c>
      <c r="I420" s="102"/>
      <c r="J420" s="102">
        <f t="shared" si="179"/>
        <v>0</v>
      </c>
      <c r="K420" s="103"/>
      <c r="L420" s="104"/>
      <c r="M420" s="105" t="s">
        <v>0</v>
      </c>
      <c r="N420" s="106" t="s">
        <v>23</v>
      </c>
      <c r="O420" s="93">
        <v>0</v>
      </c>
      <c r="P420" s="93">
        <f t="shared" si="180"/>
        <v>0</v>
      </c>
      <c r="Q420" s="93">
        <v>1.4E-2</v>
      </c>
      <c r="R420" s="93">
        <f t="shared" si="181"/>
        <v>2.5421087999999998</v>
      </c>
      <c r="S420" s="93">
        <v>0</v>
      </c>
      <c r="T420" s="94">
        <f t="shared" si="182"/>
        <v>0</v>
      </c>
      <c r="V420" s="127" t="s">
        <v>956</v>
      </c>
      <c r="AR420" s="95" t="s">
        <v>162</v>
      </c>
      <c r="AT420" s="95" t="s">
        <v>138</v>
      </c>
      <c r="AU420" s="95" t="s">
        <v>94</v>
      </c>
      <c r="AY420" s="7" t="s">
        <v>88</v>
      </c>
      <c r="BE420" s="96">
        <f t="shared" si="183"/>
        <v>0</v>
      </c>
      <c r="BF420" s="96">
        <f t="shared" si="184"/>
        <v>0</v>
      </c>
      <c r="BG420" s="96">
        <f t="shared" si="185"/>
        <v>0</v>
      </c>
      <c r="BH420" s="96">
        <f t="shared" si="186"/>
        <v>0</v>
      </c>
      <c r="BI420" s="96">
        <f t="shared" si="187"/>
        <v>0</v>
      </c>
      <c r="BJ420" s="7" t="s">
        <v>94</v>
      </c>
      <c r="BK420" s="96">
        <f t="shared" si="188"/>
        <v>0</v>
      </c>
      <c r="BL420" s="7" t="s">
        <v>147</v>
      </c>
      <c r="BM420" s="95" t="s">
        <v>778</v>
      </c>
    </row>
    <row r="421" spans="2:65" s="1" customFormat="1" ht="24.2" customHeight="1">
      <c r="B421" s="83"/>
      <c r="C421" s="84">
        <v>260</v>
      </c>
      <c r="D421" s="84" t="s">
        <v>90</v>
      </c>
      <c r="E421" s="85" t="s">
        <v>779</v>
      </c>
      <c r="F421" s="86" t="s">
        <v>941</v>
      </c>
      <c r="G421" s="87" t="s">
        <v>135</v>
      </c>
      <c r="H421" s="88">
        <v>54.103999999999999</v>
      </c>
      <c r="I421" s="89"/>
      <c r="J421" s="89">
        <f t="shared" si="179"/>
        <v>0</v>
      </c>
      <c r="K421" s="90"/>
      <c r="L421" s="15"/>
      <c r="M421" s="91" t="s">
        <v>0</v>
      </c>
      <c r="N421" s="92" t="s">
        <v>23</v>
      </c>
      <c r="O421" s="93">
        <v>0.97136</v>
      </c>
      <c r="P421" s="93">
        <f t="shared" si="180"/>
        <v>52.554461439999997</v>
      </c>
      <c r="Q421" s="93">
        <v>0.11125117</v>
      </c>
      <c r="R421" s="93">
        <f t="shared" si="181"/>
        <v>6.0191333016800002</v>
      </c>
      <c r="S421" s="93">
        <v>0</v>
      </c>
      <c r="T421" s="94">
        <f t="shared" si="182"/>
        <v>0</v>
      </c>
      <c r="V421" s="127" t="s">
        <v>956</v>
      </c>
      <c r="AR421" s="95" t="s">
        <v>147</v>
      </c>
      <c r="AT421" s="95" t="s">
        <v>90</v>
      </c>
      <c r="AU421" s="95" t="s">
        <v>94</v>
      </c>
      <c r="AY421" s="7" t="s">
        <v>88</v>
      </c>
      <c r="BE421" s="96">
        <f t="shared" si="183"/>
        <v>0</v>
      </c>
      <c r="BF421" s="96">
        <f t="shared" si="184"/>
        <v>0</v>
      </c>
      <c r="BG421" s="96">
        <f t="shared" si="185"/>
        <v>0</v>
      </c>
      <c r="BH421" s="96">
        <f t="shared" si="186"/>
        <v>0</v>
      </c>
      <c r="BI421" s="96">
        <f t="shared" si="187"/>
        <v>0</v>
      </c>
      <c r="BJ421" s="7" t="s">
        <v>94</v>
      </c>
      <c r="BK421" s="96">
        <f t="shared" si="188"/>
        <v>0</v>
      </c>
      <c r="BL421" s="7" t="s">
        <v>147</v>
      </c>
      <c r="BM421" s="95" t="s">
        <v>780</v>
      </c>
    </row>
    <row r="422" spans="2:65" s="1" customFormat="1" ht="16.5" customHeight="1">
      <c r="B422" s="83"/>
      <c r="C422" s="97">
        <v>261</v>
      </c>
      <c r="D422" s="97" t="s">
        <v>138</v>
      </c>
      <c r="E422" s="98" t="s">
        <v>781</v>
      </c>
      <c r="F422" s="99" t="s">
        <v>942</v>
      </c>
      <c r="G422" s="100" t="s">
        <v>135</v>
      </c>
      <c r="H422" s="101">
        <v>55.186</v>
      </c>
      <c r="I422" s="102"/>
      <c r="J422" s="102">
        <f t="shared" si="179"/>
        <v>0</v>
      </c>
      <c r="K422" s="103"/>
      <c r="L422" s="104"/>
      <c r="M422" s="105" t="s">
        <v>0</v>
      </c>
      <c r="N422" s="106" t="s">
        <v>23</v>
      </c>
      <c r="O422" s="93">
        <v>0</v>
      </c>
      <c r="P422" s="93">
        <f t="shared" si="180"/>
        <v>0</v>
      </c>
      <c r="Q422" s="93">
        <v>0.04</v>
      </c>
      <c r="R422" s="93">
        <f t="shared" si="181"/>
        <v>2.2074400000000001</v>
      </c>
      <c r="S422" s="93">
        <v>0</v>
      </c>
      <c r="T422" s="94">
        <f t="shared" si="182"/>
        <v>0</v>
      </c>
      <c r="V422" s="127" t="s">
        <v>956</v>
      </c>
      <c r="AR422" s="95" t="s">
        <v>162</v>
      </c>
      <c r="AT422" s="95" t="s">
        <v>138</v>
      </c>
      <c r="AU422" s="95" t="s">
        <v>94</v>
      </c>
      <c r="AY422" s="7" t="s">
        <v>88</v>
      </c>
      <c r="BE422" s="96">
        <f t="shared" si="183"/>
        <v>0</v>
      </c>
      <c r="BF422" s="96">
        <f t="shared" si="184"/>
        <v>0</v>
      </c>
      <c r="BG422" s="96">
        <f t="shared" si="185"/>
        <v>0</v>
      </c>
      <c r="BH422" s="96">
        <f t="shared" si="186"/>
        <v>0</v>
      </c>
      <c r="BI422" s="96">
        <f t="shared" si="187"/>
        <v>0</v>
      </c>
      <c r="BJ422" s="7" t="s">
        <v>94</v>
      </c>
      <c r="BK422" s="96">
        <f t="shared" si="188"/>
        <v>0</v>
      </c>
      <c r="BL422" s="7" t="s">
        <v>147</v>
      </c>
      <c r="BM422" s="95" t="s">
        <v>782</v>
      </c>
    </row>
    <row r="423" spans="2:65" s="1" customFormat="1" ht="24.2" customHeight="1">
      <c r="B423" s="83"/>
      <c r="C423" s="84">
        <v>262</v>
      </c>
      <c r="D423" s="84" t="s">
        <v>90</v>
      </c>
      <c r="E423" s="85" t="s">
        <v>783</v>
      </c>
      <c r="F423" s="86" t="s">
        <v>784</v>
      </c>
      <c r="G423" s="87" t="s">
        <v>394</v>
      </c>
      <c r="H423" s="88">
        <v>319.94099999999997</v>
      </c>
      <c r="I423" s="89"/>
      <c r="J423" s="89">
        <f t="shared" si="179"/>
        <v>0</v>
      </c>
      <c r="K423" s="90"/>
      <c r="L423" s="15"/>
      <c r="M423" s="91" t="s">
        <v>0</v>
      </c>
      <c r="N423" s="92" t="s">
        <v>23</v>
      </c>
      <c r="O423" s="93">
        <v>0</v>
      </c>
      <c r="P423" s="93">
        <f t="shared" si="180"/>
        <v>0</v>
      </c>
      <c r="Q423" s="93">
        <v>0</v>
      </c>
      <c r="R423" s="93">
        <f t="shared" si="181"/>
        <v>0</v>
      </c>
      <c r="S423" s="93">
        <v>0</v>
      </c>
      <c r="T423" s="94">
        <f t="shared" si="182"/>
        <v>0</v>
      </c>
      <c r="V423" s="127" t="s">
        <v>956</v>
      </c>
      <c r="AR423" s="95" t="s">
        <v>147</v>
      </c>
      <c r="AT423" s="95" t="s">
        <v>90</v>
      </c>
      <c r="AU423" s="95" t="s">
        <v>94</v>
      </c>
      <c r="AY423" s="7" t="s">
        <v>88</v>
      </c>
      <c r="BE423" s="96">
        <f t="shared" si="183"/>
        <v>0</v>
      </c>
      <c r="BF423" s="96">
        <f t="shared" si="184"/>
        <v>0</v>
      </c>
      <c r="BG423" s="96">
        <f t="shared" si="185"/>
        <v>0</v>
      </c>
      <c r="BH423" s="96">
        <f t="shared" si="186"/>
        <v>0</v>
      </c>
      <c r="BI423" s="96">
        <f t="shared" si="187"/>
        <v>0</v>
      </c>
      <c r="BJ423" s="7" t="s">
        <v>94</v>
      </c>
      <c r="BK423" s="96">
        <f t="shared" si="188"/>
        <v>0</v>
      </c>
      <c r="BL423" s="7" t="s">
        <v>147</v>
      </c>
      <c r="BM423" s="95" t="s">
        <v>785</v>
      </c>
    </row>
    <row r="424" spans="2:65" s="6" customFormat="1" ht="22.9" customHeight="1">
      <c r="B424" s="72"/>
      <c r="D424" s="73" t="s">
        <v>39</v>
      </c>
      <c r="E424" s="81" t="s">
        <v>786</v>
      </c>
      <c r="F424" s="81" t="s">
        <v>787</v>
      </c>
      <c r="J424" s="82">
        <f>SUM(J425:J431)</f>
        <v>0</v>
      </c>
      <c r="L424" s="72"/>
      <c r="M424" s="76"/>
      <c r="P424" s="77">
        <f>SUM(P425:P431)</f>
        <v>389.30473799999999</v>
      </c>
      <c r="R424" s="77">
        <f>SUM(R425:R431)</f>
        <v>0.45023650000000009</v>
      </c>
      <c r="T424" s="78">
        <f>SUM(T425:T431)</f>
        <v>1.1000000000000001</v>
      </c>
      <c r="AR424" s="73" t="s">
        <v>94</v>
      </c>
      <c r="AT424" s="79" t="s">
        <v>39</v>
      </c>
      <c r="AU424" s="79" t="s">
        <v>41</v>
      </c>
      <c r="AY424" s="73" t="s">
        <v>88</v>
      </c>
      <c r="BK424" s="80">
        <f>SUM(BK425:BK431)</f>
        <v>0</v>
      </c>
    </row>
    <row r="425" spans="2:65" s="1" customFormat="1" ht="16.5" customHeight="1">
      <c r="B425" s="83"/>
      <c r="C425" s="84">
        <v>263</v>
      </c>
      <c r="D425" s="84" t="s">
        <v>90</v>
      </c>
      <c r="E425" s="85" t="s">
        <v>788</v>
      </c>
      <c r="F425" s="86" t="s">
        <v>1016</v>
      </c>
      <c r="G425" s="87" t="s">
        <v>145</v>
      </c>
      <c r="H425" s="88">
        <v>756.7</v>
      </c>
      <c r="I425" s="89"/>
      <c r="J425" s="89">
        <f t="shared" ref="J425:J431" si="189">ROUND(I425*H425,2)</f>
        <v>0</v>
      </c>
      <c r="K425" s="90"/>
      <c r="L425" s="15"/>
      <c r="M425" s="91" t="s">
        <v>0</v>
      </c>
      <c r="N425" s="92" t="s">
        <v>23</v>
      </c>
      <c r="O425" s="93">
        <v>8.4140000000000006E-2</v>
      </c>
      <c r="P425" s="93">
        <f t="shared" ref="P425:P431" si="190">O425*H425</f>
        <v>63.668738000000012</v>
      </c>
      <c r="Q425" s="93">
        <v>4.5000000000000003E-5</v>
      </c>
      <c r="R425" s="93">
        <f t="shared" ref="R425:R431" si="191">Q425*H425</f>
        <v>3.4051500000000005E-2</v>
      </c>
      <c r="S425" s="93">
        <v>0</v>
      </c>
      <c r="T425" s="94">
        <f t="shared" ref="T425:T431" si="192">S425*H425</f>
        <v>0</v>
      </c>
      <c r="V425" s="127" t="s">
        <v>956</v>
      </c>
      <c r="AR425" s="95" t="s">
        <v>147</v>
      </c>
      <c r="AT425" s="95" t="s">
        <v>90</v>
      </c>
      <c r="AU425" s="95" t="s">
        <v>94</v>
      </c>
      <c r="AY425" s="7" t="s">
        <v>88</v>
      </c>
      <c r="BE425" s="96">
        <f t="shared" ref="BE425:BE431" si="193">IF(N425="základná",J425,0)</f>
        <v>0</v>
      </c>
      <c r="BF425" s="96">
        <f t="shared" ref="BF425:BF431" si="194">IF(N425="znížená",J425,0)</f>
        <v>0</v>
      </c>
      <c r="BG425" s="96">
        <f t="shared" ref="BG425:BG431" si="195">IF(N425="zákl. prenesená",J425,0)</f>
        <v>0</v>
      </c>
      <c r="BH425" s="96">
        <f t="shared" ref="BH425:BH431" si="196">IF(N425="zníž. prenesená",J425,0)</f>
        <v>0</v>
      </c>
      <c r="BI425" s="96">
        <f t="shared" ref="BI425:BI431" si="197">IF(N425="nulová",J425,0)</f>
        <v>0</v>
      </c>
      <c r="BJ425" s="7" t="s">
        <v>94</v>
      </c>
      <c r="BK425" s="96">
        <f t="shared" ref="BK425:BK431" si="198">ROUND(I425*H425,2)</f>
        <v>0</v>
      </c>
      <c r="BL425" s="7" t="s">
        <v>147</v>
      </c>
      <c r="BM425" s="95" t="s">
        <v>789</v>
      </c>
    </row>
    <row r="426" spans="2:65" s="1" customFormat="1" ht="24.2" customHeight="1">
      <c r="B426" s="83"/>
      <c r="C426" s="97">
        <v>264</v>
      </c>
      <c r="D426" s="97" t="s">
        <v>138</v>
      </c>
      <c r="E426" s="98" t="s">
        <v>790</v>
      </c>
      <c r="F426" s="99" t="s">
        <v>791</v>
      </c>
      <c r="G426" s="100" t="s">
        <v>145</v>
      </c>
      <c r="H426" s="101">
        <f>H425*1.1</f>
        <v>832.37000000000012</v>
      </c>
      <c r="I426" s="102"/>
      <c r="J426" s="102">
        <f t="shared" si="189"/>
        <v>0</v>
      </c>
      <c r="K426" s="103"/>
      <c r="L426" s="104"/>
      <c r="M426" s="105" t="s">
        <v>0</v>
      </c>
      <c r="N426" s="106" t="s">
        <v>23</v>
      </c>
      <c r="O426" s="93">
        <v>0</v>
      </c>
      <c r="P426" s="93">
        <f t="shared" si="190"/>
        <v>0</v>
      </c>
      <c r="Q426" s="93">
        <v>5.0000000000000001E-4</v>
      </c>
      <c r="R426" s="93">
        <f t="shared" si="191"/>
        <v>0.41618500000000008</v>
      </c>
      <c r="S426" s="93">
        <v>0</v>
      </c>
      <c r="T426" s="94">
        <f t="shared" si="192"/>
        <v>0</v>
      </c>
      <c r="V426" s="127" t="s">
        <v>956</v>
      </c>
      <c r="AR426" s="95" t="s">
        <v>162</v>
      </c>
      <c r="AT426" s="95" t="s">
        <v>138</v>
      </c>
      <c r="AU426" s="95" t="s">
        <v>94</v>
      </c>
      <c r="AY426" s="7" t="s">
        <v>88</v>
      </c>
      <c r="BE426" s="96">
        <f t="shared" si="193"/>
        <v>0</v>
      </c>
      <c r="BF426" s="96">
        <f t="shared" si="194"/>
        <v>0</v>
      </c>
      <c r="BG426" s="96">
        <f t="shared" si="195"/>
        <v>0</v>
      </c>
      <c r="BH426" s="96">
        <f t="shared" si="196"/>
        <v>0</v>
      </c>
      <c r="BI426" s="96">
        <f t="shared" si="197"/>
        <v>0</v>
      </c>
      <c r="BJ426" s="7" t="s">
        <v>94</v>
      </c>
      <c r="BK426" s="96">
        <f t="shared" si="198"/>
        <v>0</v>
      </c>
      <c r="BL426" s="7" t="s">
        <v>147</v>
      </c>
      <c r="BM426" s="95" t="s">
        <v>792</v>
      </c>
    </row>
    <row r="427" spans="2:65" s="133" customFormat="1" ht="63.75" customHeight="1">
      <c r="B427" s="83"/>
      <c r="C427" s="141" t="s">
        <v>1008</v>
      </c>
      <c r="D427" s="141" t="s">
        <v>90</v>
      </c>
      <c r="E427" s="142" t="s">
        <v>1010</v>
      </c>
      <c r="F427" s="143" t="s">
        <v>1015</v>
      </c>
      <c r="G427" s="87" t="s">
        <v>135</v>
      </c>
      <c r="H427" s="88">
        <f>H429</f>
        <v>1100</v>
      </c>
      <c r="I427" s="89"/>
      <c r="J427" s="89">
        <f t="shared" ref="J427:J428" si="199">ROUND(I427*H427,2)</f>
        <v>0</v>
      </c>
      <c r="K427" s="103"/>
      <c r="L427" s="104"/>
      <c r="M427" s="105"/>
      <c r="N427" s="106"/>
      <c r="O427" s="93"/>
      <c r="P427" s="93"/>
      <c r="Q427" s="93"/>
      <c r="R427" s="93"/>
      <c r="S427" s="93"/>
      <c r="T427" s="94"/>
      <c r="V427" s="127" t="s">
        <v>1012</v>
      </c>
      <c r="AR427" s="95"/>
      <c r="AT427" s="95"/>
      <c r="AU427" s="95"/>
      <c r="AY427" s="7"/>
      <c r="BE427" s="96"/>
      <c r="BF427" s="96"/>
      <c r="BG427" s="96"/>
      <c r="BH427" s="96"/>
      <c r="BI427" s="96"/>
      <c r="BJ427" s="7"/>
      <c r="BK427" s="96"/>
      <c r="BL427" s="7"/>
      <c r="BM427" s="95"/>
    </row>
    <row r="428" spans="2:65" s="133" customFormat="1" ht="63.75" customHeight="1">
      <c r="B428" s="83"/>
      <c r="C428" s="144" t="s">
        <v>1009</v>
      </c>
      <c r="D428" s="144" t="s">
        <v>138</v>
      </c>
      <c r="E428" s="145" t="s">
        <v>1011</v>
      </c>
      <c r="F428" s="146" t="s">
        <v>1014</v>
      </c>
      <c r="G428" s="100" t="s">
        <v>135</v>
      </c>
      <c r="H428" s="101">
        <f>H427*1.1</f>
        <v>1210</v>
      </c>
      <c r="I428" s="102"/>
      <c r="J428" s="102">
        <f t="shared" si="199"/>
        <v>0</v>
      </c>
      <c r="K428" s="103"/>
      <c r="L428" s="104"/>
      <c r="M428" s="105"/>
      <c r="N428" s="106"/>
      <c r="O428" s="93"/>
      <c r="P428" s="93"/>
      <c r="Q428" s="93"/>
      <c r="R428" s="93"/>
      <c r="S428" s="93"/>
      <c r="T428" s="94"/>
      <c r="V428" s="127" t="s">
        <v>1013</v>
      </c>
      <c r="AR428" s="95"/>
      <c r="AT428" s="95"/>
      <c r="AU428" s="95"/>
      <c r="AY428" s="7"/>
      <c r="BE428" s="96"/>
      <c r="BF428" s="96"/>
      <c r="BG428" s="96"/>
      <c r="BH428" s="96"/>
      <c r="BI428" s="96"/>
      <c r="BJ428" s="7"/>
      <c r="BK428" s="96"/>
      <c r="BL428" s="7"/>
      <c r="BM428" s="95"/>
    </row>
    <row r="429" spans="2:65" s="1" customFormat="1" ht="24.2" customHeight="1">
      <c r="B429" s="83"/>
      <c r="C429" s="84">
        <v>265</v>
      </c>
      <c r="D429" s="84" t="s">
        <v>90</v>
      </c>
      <c r="E429" s="85" t="s">
        <v>793</v>
      </c>
      <c r="F429" s="86" t="s">
        <v>794</v>
      </c>
      <c r="G429" s="87" t="s">
        <v>135</v>
      </c>
      <c r="H429" s="88">
        <v>1100</v>
      </c>
      <c r="I429" s="89"/>
      <c r="J429" s="89">
        <f t="shared" si="189"/>
        <v>0</v>
      </c>
      <c r="K429" s="90"/>
      <c r="L429" s="15"/>
      <c r="M429" s="91" t="s">
        <v>0</v>
      </c>
      <c r="N429" s="92" t="s">
        <v>23</v>
      </c>
      <c r="O429" s="93">
        <v>0.24099999999999999</v>
      </c>
      <c r="P429" s="93">
        <f t="shared" si="190"/>
        <v>265.09999999999997</v>
      </c>
      <c r="Q429" s="93">
        <v>0</v>
      </c>
      <c r="R429" s="93">
        <f t="shared" si="191"/>
        <v>0</v>
      </c>
      <c r="S429" s="93">
        <v>1E-3</v>
      </c>
      <c r="T429" s="94">
        <f t="shared" si="192"/>
        <v>1.1000000000000001</v>
      </c>
      <c r="V429" s="127" t="s">
        <v>956</v>
      </c>
      <c r="AR429" s="95" t="s">
        <v>147</v>
      </c>
      <c r="AT429" s="95" t="s">
        <v>90</v>
      </c>
      <c r="AU429" s="95" t="s">
        <v>94</v>
      </c>
      <c r="AY429" s="7" t="s">
        <v>88</v>
      </c>
      <c r="BE429" s="96">
        <f t="shared" si="193"/>
        <v>0</v>
      </c>
      <c r="BF429" s="96">
        <f t="shared" si="194"/>
        <v>0</v>
      </c>
      <c r="BG429" s="96">
        <f t="shared" si="195"/>
        <v>0</v>
      </c>
      <c r="BH429" s="96">
        <f t="shared" si="196"/>
        <v>0</v>
      </c>
      <c r="BI429" s="96">
        <f t="shared" si="197"/>
        <v>0</v>
      </c>
      <c r="BJ429" s="7" t="s">
        <v>94</v>
      </c>
      <c r="BK429" s="96">
        <f t="shared" si="198"/>
        <v>0</v>
      </c>
      <c r="BL429" s="7" t="s">
        <v>147</v>
      </c>
      <c r="BM429" s="95" t="s">
        <v>795</v>
      </c>
    </row>
    <row r="430" spans="2:65" s="1" customFormat="1" ht="21.75" customHeight="1">
      <c r="B430" s="83"/>
      <c r="C430" s="84">
        <v>266</v>
      </c>
      <c r="D430" s="84" t="s">
        <v>90</v>
      </c>
      <c r="E430" s="85" t="s">
        <v>796</v>
      </c>
      <c r="F430" s="86" t="s">
        <v>797</v>
      </c>
      <c r="G430" s="87" t="s">
        <v>135</v>
      </c>
      <c r="H430" s="88">
        <f>H425</f>
        <v>756.7</v>
      </c>
      <c r="I430" s="89"/>
      <c r="J430" s="89">
        <f t="shared" si="189"/>
        <v>0</v>
      </c>
      <c r="K430" s="90"/>
      <c r="L430" s="15"/>
      <c r="M430" s="91" t="s">
        <v>0</v>
      </c>
      <c r="N430" s="92" t="s">
        <v>23</v>
      </c>
      <c r="O430" s="93">
        <v>0.08</v>
      </c>
      <c r="P430" s="93">
        <f t="shared" si="190"/>
        <v>60.536000000000001</v>
      </c>
      <c r="Q430" s="93">
        <v>0</v>
      </c>
      <c r="R430" s="93">
        <f t="shared" si="191"/>
        <v>0</v>
      </c>
      <c r="S430" s="93">
        <v>0</v>
      </c>
      <c r="T430" s="94">
        <f t="shared" si="192"/>
        <v>0</v>
      </c>
      <c r="V430" s="127" t="s">
        <v>956</v>
      </c>
      <c r="AR430" s="95" t="s">
        <v>147</v>
      </c>
      <c r="AT430" s="95" t="s">
        <v>90</v>
      </c>
      <c r="AU430" s="95" t="s">
        <v>94</v>
      </c>
      <c r="AY430" s="7" t="s">
        <v>88</v>
      </c>
      <c r="BE430" s="96">
        <f t="shared" si="193"/>
        <v>0</v>
      </c>
      <c r="BF430" s="96">
        <f t="shared" si="194"/>
        <v>0</v>
      </c>
      <c r="BG430" s="96">
        <f t="shared" si="195"/>
        <v>0</v>
      </c>
      <c r="BH430" s="96">
        <f t="shared" si="196"/>
        <v>0</v>
      </c>
      <c r="BI430" s="96">
        <f t="shared" si="197"/>
        <v>0</v>
      </c>
      <c r="BJ430" s="7" t="s">
        <v>94</v>
      </c>
      <c r="BK430" s="96">
        <f t="shared" si="198"/>
        <v>0</v>
      </c>
      <c r="BL430" s="7" t="s">
        <v>147</v>
      </c>
      <c r="BM430" s="95" t="s">
        <v>798</v>
      </c>
    </row>
    <row r="431" spans="2:65" s="1" customFormat="1" ht="24.2" customHeight="1">
      <c r="B431" s="83"/>
      <c r="C431" s="84">
        <v>267</v>
      </c>
      <c r="D431" s="84" t="s">
        <v>90</v>
      </c>
      <c r="E431" s="85" t="s">
        <v>799</v>
      </c>
      <c r="F431" s="86" t="s">
        <v>800</v>
      </c>
      <c r="G431" s="87" t="s">
        <v>394</v>
      </c>
      <c r="H431" s="88">
        <v>267.60000000000002</v>
      </c>
      <c r="I431" s="89"/>
      <c r="J431" s="89">
        <f t="shared" si="189"/>
        <v>0</v>
      </c>
      <c r="K431" s="90"/>
      <c r="L431" s="15"/>
      <c r="M431" s="91" t="s">
        <v>0</v>
      </c>
      <c r="N431" s="92" t="s">
        <v>23</v>
      </c>
      <c r="O431" s="93">
        <v>0</v>
      </c>
      <c r="P431" s="93">
        <f t="shared" si="190"/>
        <v>0</v>
      </c>
      <c r="Q431" s="93">
        <v>0</v>
      </c>
      <c r="R431" s="93">
        <f t="shared" si="191"/>
        <v>0</v>
      </c>
      <c r="S431" s="93">
        <v>0</v>
      </c>
      <c r="T431" s="94">
        <f t="shared" si="192"/>
        <v>0</v>
      </c>
      <c r="V431" s="127" t="s">
        <v>956</v>
      </c>
      <c r="AR431" s="95" t="s">
        <v>147</v>
      </c>
      <c r="AT431" s="95" t="s">
        <v>90</v>
      </c>
      <c r="AU431" s="95" t="s">
        <v>94</v>
      </c>
      <c r="AY431" s="7" t="s">
        <v>88</v>
      </c>
      <c r="BE431" s="96">
        <f t="shared" si="193"/>
        <v>0</v>
      </c>
      <c r="BF431" s="96">
        <f t="shared" si="194"/>
        <v>0</v>
      </c>
      <c r="BG431" s="96">
        <f t="shared" si="195"/>
        <v>0</v>
      </c>
      <c r="BH431" s="96">
        <f t="shared" si="196"/>
        <v>0</v>
      </c>
      <c r="BI431" s="96">
        <f t="shared" si="197"/>
        <v>0</v>
      </c>
      <c r="BJ431" s="7" t="s">
        <v>94</v>
      </c>
      <c r="BK431" s="96">
        <f t="shared" si="198"/>
        <v>0</v>
      </c>
      <c r="BL431" s="7" t="s">
        <v>147</v>
      </c>
      <c r="BM431" s="95" t="s">
        <v>801</v>
      </c>
    </row>
    <row r="432" spans="2:65" s="6" customFormat="1" ht="22.9" customHeight="1">
      <c r="B432" s="72"/>
      <c r="D432" s="73" t="s">
        <v>39</v>
      </c>
      <c r="E432" s="81" t="s">
        <v>802</v>
      </c>
      <c r="F432" s="81" t="s">
        <v>803</v>
      </c>
      <c r="J432" s="82">
        <f>SUM(J433:J437)</f>
        <v>0</v>
      </c>
      <c r="L432" s="72"/>
      <c r="M432" s="76"/>
      <c r="P432" s="77">
        <f>SUM(P433:P437)</f>
        <v>476.56988000000001</v>
      </c>
      <c r="R432" s="77">
        <f>SUM(R433:R437)</f>
        <v>8.3416250000000005</v>
      </c>
      <c r="T432" s="78">
        <f>SUM(T433:T437)</f>
        <v>0</v>
      </c>
      <c r="AR432" s="73" t="s">
        <v>94</v>
      </c>
      <c r="AT432" s="79" t="s">
        <v>39</v>
      </c>
      <c r="AU432" s="79" t="s">
        <v>41</v>
      </c>
      <c r="AY432" s="73" t="s">
        <v>88</v>
      </c>
      <c r="BK432" s="80">
        <f>SUM(BK433:BK437)</f>
        <v>0</v>
      </c>
    </row>
    <row r="433" spans="2:65" s="1" customFormat="1" ht="24.2" customHeight="1">
      <c r="B433" s="83"/>
      <c r="C433" s="84">
        <v>268</v>
      </c>
      <c r="D433" s="84" t="s">
        <v>90</v>
      </c>
      <c r="E433" s="85" t="s">
        <v>804</v>
      </c>
      <c r="F433" s="86" t="s">
        <v>805</v>
      </c>
      <c r="G433" s="87" t="s">
        <v>135</v>
      </c>
      <c r="H433" s="88">
        <v>321</v>
      </c>
      <c r="I433" s="89"/>
      <c r="J433" s="89">
        <f>ROUND(I433*H433,2)</f>
        <v>0</v>
      </c>
      <c r="K433" s="90"/>
      <c r="L433" s="15"/>
      <c r="M433" s="91" t="s">
        <v>0</v>
      </c>
      <c r="N433" s="92" t="s">
        <v>23</v>
      </c>
      <c r="O433" s="93">
        <v>1.4814000000000001</v>
      </c>
      <c r="P433" s="93">
        <f>O433*H433</f>
        <v>475.52940000000001</v>
      </c>
      <c r="Q433" s="93">
        <v>3.277E-3</v>
      </c>
      <c r="R433" s="93">
        <f>Q433*H433</f>
        <v>1.051917</v>
      </c>
      <c r="S433" s="93">
        <v>0</v>
      </c>
      <c r="T433" s="94">
        <f>S433*H433</f>
        <v>0</v>
      </c>
      <c r="V433" s="127" t="s">
        <v>956</v>
      </c>
      <c r="AR433" s="95" t="s">
        <v>147</v>
      </c>
      <c r="AT433" s="95" t="s">
        <v>90</v>
      </c>
      <c r="AU433" s="95" t="s">
        <v>94</v>
      </c>
      <c r="AY433" s="7" t="s">
        <v>88</v>
      </c>
      <c r="BE433" s="96">
        <f>IF(N433="základná",J433,0)</f>
        <v>0</v>
      </c>
      <c r="BF433" s="96">
        <f>IF(N433="znížená",J433,0)</f>
        <v>0</v>
      </c>
      <c r="BG433" s="96">
        <f>IF(N433="zákl. prenesená",J433,0)</f>
        <v>0</v>
      </c>
      <c r="BH433" s="96">
        <f>IF(N433="zníž. prenesená",J433,0)</f>
        <v>0</v>
      </c>
      <c r="BI433" s="96">
        <f>IF(N433="nulová",J433,0)</f>
        <v>0</v>
      </c>
      <c r="BJ433" s="7" t="s">
        <v>94</v>
      </c>
      <c r="BK433" s="96">
        <f>ROUND(I433*H433,2)</f>
        <v>0</v>
      </c>
      <c r="BL433" s="7" t="s">
        <v>147</v>
      </c>
      <c r="BM433" s="95" t="s">
        <v>806</v>
      </c>
    </row>
    <row r="434" spans="2:65" s="1" customFormat="1" ht="16.5" customHeight="1">
      <c r="B434" s="83"/>
      <c r="C434" s="97">
        <v>269</v>
      </c>
      <c r="D434" s="97" t="s">
        <v>138</v>
      </c>
      <c r="E434" s="98" t="s">
        <v>807</v>
      </c>
      <c r="F434" s="99" t="s">
        <v>808</v>
      </c>
      <c r="G434" s="100" t="s">
        <v>135</v>
      </c>
      <c r="H434" s="101">
        <f>H433*1.1</f>
        <v>353.1</v>
      </c>
      <c r="I434" s="102"/>
      <c r="J434" s="102">
        <f>ROUND(I434*H434,2)</f>
        <v>0</v>
      </c>
      <c r="K434" s="103"/>
      <c r="L434" s="104"/>
      <c r="M434" s="105" t="s">
        <v>0</v>
      </c>
      <c r="N434" s="106" t="s">
        <v>23</v>
      </c>
      <c r="O434" s="93">
        <v>0</v>
      </c>
      <c r="P434" s="93">
        <f>O434*H434</f>
        <v>0</v>
      </c>
      <c r="Q434" s="93">
        <v>2.06E-2</v>
      </c>
      <c r="R434" s="93">
        <f>Q434*H434</f>
        <v>7.2738600000000009</v>
      </c>
      <c r="S434" s="93">
        <v>0</v>
      </c>
      <c r="T434" s="94">
        <f>S434*H434</f>
        <v>0</v>
      </c>
      <c r="V434" s="127" t="s">
        <v>956</v>
      </c>
      <c r="AR434" s="95" t="s">
        <v>162</v>
      </c>
      <c r="AT434" s="95" t="s">
        <v>138</v>
      </c>
      <c r="AU434" s="95" t="s">
        <v>94</v>
      </c>
      <c r="AY434" s="7" t="s">
        <v>88</v>
      </c>
      <c r="BE434" s="96">
        <f>IF(N434="základná",J434,0)</f>
        <v>0</v>
      </c>
      <c r="BF434" s="96">
        <f>IF(N434="znížená",J434,0)</f>
        <v>0</v>
      </c>
      <c r="BG434" s="96">
        <f>IF(N434="zákl. prenesená",J434,0)</f>
        <v>0</v>
      </c>
      <c r="BH434" s="96">
        <f>IF(N434="zníž. prenesená",J434,0)</f>
        <v>0</v>
      </c>
      <c r="BI434" s="96">
        <f>IF(N434="nulová",J434,0)</f>
        <v>0</v>
      </c>
      <c r="BJ434" s="7" t="s">
        <v>94</v>
      </c>
      <c r="BK434" s="96">
        <f>ROUND(I434*H434,2)</f>
        <v>0</v>
      </c>
      <c r="BL434" s="7" t="s">
        <v>147</v>
      </c>
      <c r="BM434" s="95" t="s">
        <v>809</v>
      </c>
    </row>
    <row r="435" spans="2:65" s="1" customFormat="1" ht="24.2" customHeight="1">
      <c r="B435" s="83"/>
      <c r="C435" s="84">
        <v>270</v>
      </c>
      <c r="D435" s="84" t="s">
        <v>90</v>
      </c>
      <c r="E435" s="85" t="s">
        <v>810</v>
      </c>
      <c r="F435" s="86" t="s">
        <v>811</v>
      </c>
      <c r="G435" s="87" t="s">
        <v>145</v>
      </c>
      <c r="H435" s="88">
        <v>28</v>
      </c>
      <c r="I435" s="89"/>
      <c r="J435" s="89">
        <f>ROUND(I435*H435,2)</f>
        <v>0</v>
      </c>
      <c r="K435" s="90"/>
      <c r="L435" s="15"/>
      <c r="M435" s="91" t="s">
        <v>0</v>
      </c>
      <c r="N435" s="92" t="s">
        <v>23</v>
      </c>
      <c r="O435" s="93">
        <v>3.7159999999999999E-2</v>
      </c>
      <c r="P435" s="93">
        <f>O435*H435</f>
        <v>1.0404800000000001</v>
      </c>
      <c r="Q435" s="93">
        <v>5.0000000000000001E-4</v>
      </c>
      <c r="R435" s="93">
        <f>Q435*H435</f>
        <v>1.4E-2</v>
      </c>
      <c r="S435" s="93">
        <v>0</v>
      </c>
      <c r="T435" s="94">
        <f>S435*H435</f>
        <v>0</v>
      </c>
      <c r="V435" s="127" t="s">
        <v>956</v>
      </c>
      <c r="AR435" s="95" t="s">
        <v>147</v>
      </c>
      <c r="AT435" s="95" t="s">
        <v>90</v>
      </c>
      <c r="AU435" s="95" t="s">
        <v>94</v>
      </c>
      <c r="AY435" s="7" t="s">
        <v>88</v>
      </c>
      <c r="BE435" s="96">
        <f>IF(N435="základná",J435,0)</f>
        <v>0</v>
      </c>
      <c r="BF435" s="96">
        <f>IF(N435="znížená",J435,0)</f>
        <v>0</v>
      </c>
      <c r="BG435" s="96">
        <f>IF(N435="zákl. prenesená",J435,0)</f>
        <v>0</v>
      </c>
      <c r="BH435" s="96">
        <f>IF(N435="zníž. prenesená",J435,0)</f>
        <v>0</v>
      </c>
      <c r="BI435" s="96">
        <f>IF(N435="nulová",J435,0)</f>
        <v>0</v>
      </c>
      <c r="BJ435" s="7" t="s">
        <v>94</v>
      </c>
      <c r="BK435" s="96">
        <f>ROUND(I435*H435,2)</f>
        <v>0</v>
      </c>
      <c r="BL435" s="7" t="s">
        <v>147</v>
      </c>
      <c r="BM435" s="95" t="s">
        <v>812</v>
      </c>
    </row>
    <row r="436" spans="2:65" s="1" customFormat="1" ht="21.75" customHeight="1">
      <c r="B436" s="83"/>
      <c r="C436" s="97">
        <v>271</v>
      </c>
      <c r="D436" s="97" t="s">
        <v>138</v>
      </c>
      <c r="E436" s="98" t="s">
        <v>813</v>
      </c>
      <c r="F436" s="99" t="s">
        <v>814</v>
      </c>
      <c r="G436" s="100" t="s">
        <v>145</v>
      </c>
      <c r="H436" s="101">
        <v>30.8</v>
      </c>
      <c r="I436" s="102"/>
      <c r="J436" s="102">
        <f>ROUND(I436*H436,2)</f>
        <v>0</v>
      </c>
      <c r="K436" s="103"/>
      <c r="L436" s="104"/>
      <c r="M436" s="105" t="s">
        <v>0</v>
      </c>
      <c r="N436" s="106" t="s">
        <v>23</v>
      </c>
      <c r="O436" s="93">
        <v>0</v>
      </c>
      <c r="P436" s="93">
        <f>O436*H436</f>
        <v>0</v>
      </c>
      <c r="Q436" s="93">
        <v>6.0000000000000002E-5</v>
      </c>
      <c r="R436" s="93">
        <f>Q436*H436</f>
        <v>1.848E-3</v>
      </c>
      <c r="S436" s="93">
        <v>0</v>
      </c>
      <c r="T436" s="94">
        <f>S436*H436</f>
        <v>0</v>
      </c>
      <c r="V436" s="127" t="s">
        <v>956</v>
      </c>
      <c r="AR436" s="95" t="s">
        <v>162</v>
      </c>
      <c r="AT436" s="95" t="s">
        <v>138</v>
      </c>
      <c r="AU436" s="95" t="s">
        <v>94</v>
      </c>
      <c r="AY436" s="7" t="s">
        <v>88</v>
      </c>
      <c r="BE436" s="96">
        <f>IF(N436="základná",J436,0)</f>
        <v>0</v>
      </c>
      <c r="BF436" s="96">
        <f>IF(N436="znížená",J436,0)</f>
        <v>0</v>
      </c>
      <c r="BG436" s="96">
        <f>IF(N436="zákl. prenesená",J436,0)</f>
        <v>0</v>
      </c>
      <c r="BH436" s="96">
        <f>IF(N436="zníž. prenesená",J436,0)</f>
        <v>0</v>
      </c>
      <c r="BI436" s="96">
        <f>IF(N436="nulová",J436,0)</f>
        <v>0</v>
      </c>
      <c r="BJ436" s="7" t="s">
        <v>94</v>
      </c>
      <c r="BK436" s="96">
        <f>ROUND(I436*H436,2)</f>
        <v>0</v>
      </c>
      <c r="BL436" s="7" t="s">
        <v>147</v>
      </c>
      <c r="BM436" s="95" t="s">
        <v>815</v>
      </c>
    </row>
    <row r="437" spans="2:65" s="1" customFormat="1" ht="24.2" customHeight="1">
      <c r="B437" s="83"/>
      <c r="C437" s="84">
        <v>272</v>
      </c>
      <c r="D437" s="84" t="s">
        <v>90</v>
      </c>
      <c r="E437" s="85" t="s">
        <v>816</v>
      </c>
      <c r="F437" s="86" t="s">
        <v>817</v>
      </c>
      <c r="G437" s="87" t="s">
        <v>394</v>
      </c>
      <c r="H437" s="88">
        <v>861.01800000000003</v>
      </c>
      <c r="I437" s="89"/>
      <c r="J437" s="89">
        <f>ROUND(I437*H437,2)</f>
        <v>0</v>
      </c>
      <c r="K437" s="90"/>
      <c r="L437" s="15"/>
      <c r="M437" s="91" t="s">
        <v>0</v>
      </c>
      <c r="N437" s="92" t="s">
        <v>23</v>
      </c>
      <c r="O437" s="93">
        <v>0</v>
      </c>
      <c r="P437" s="93">
        <f>O437*H437</f>
        <v>0</v>
      </c>
      <c r="Q437" s="93">
        <v>0</v>
      </c>
      <c r="R437" s="93">
        <f>Q437*H437</f>
        <v>0</v>
      </c>
      <c r="S437" s="93">
        <v>0</v>
      </c>
      <c r="T437" s="94">
        <f>S437*H437</f>
        <v>0</v>
      </c>
      <c r="V437" s="127" t="s">
        <v>956</v>
      </c>
      <c r="AR437" s="95" t="s">
        <v>147</v>
      </c>
      <c r="AT437" s="95" t="s">
        <v>90</v>
      </c>
      <c r="AU437" s="95" t="s">
        <v>94</v>
      </c>
      <c r="AY437" s="7" t="s">
        <v>88</v>
      </c>
      <c r="BE437" s="96">
        <f>IF(N437="základná",J437,0)</f>
        <v>0</v>
      </c>
      <c r="BF437" s="96">
        <f>IF(N437="znížená",J437,0)</f>
        <v>0</v>
      </c>
      <c r="BG437" s="96">
        <f>IF(N437="zákl. prenesená",J437,0)</f>
        <v>0</v>
      </c>
      <c r="BH437" s="96">
        <f>IF(N437="zníž. prenesená",J437,0)</f>
        <v>0</v>
      </c>
      <c r="BI437" s="96">
        <f>IF(N437="nulová",J437,0)</f>
        <v>0</v>
      </c>
      <c r="BJ437" s="7" t="s">
        <v>94</v>
      </c>
      <c r="BK437" s="96">
        <f>ROUND(I437*H437,2)</f>
        <v>0</v>
      </c>
      <c r="BL437" s="7" t="s">
        <v>147</v>
      </c>
      <c r="BM437" s="95" t="s">
        <v>818</v>
      </c>
    </row>
    <row r="438" spans="2:65" s="6" customFormat="1" ht="22.9" customHeight="1">
      <c r="B438" s="72"/>
      <c r="D438" s="73" t="s">
        <v>39</v>
      </c>
      <c r="E438" s="81" t="s">
        <v>819</v>
      </c>
      <c r="F438" s="81" t="s">
        <v>820</v>
      </c>
      <c r="J438" s="82">
        <f>SUM(J439:J442)</f>
        <v>0</v>
      </c>
      <c r="L438" s="72"/>
      <c r="M438" s="76"/>
      <c r="P438" s="77">
        <f>SUM(P439:P442)</f>
        <v>389.99819209999998</v>
      </c>
      <c r="R438" s="77">
        <f>SUM(R439:R442)</f>
        <v>0.5980530638999999</v>
      </c>
      <c r="T438" s="78">
        <f>SUM(T439:T442)</f>
        <v>0</v>
      </c>
      <c r="AR438" s="73" t="s">
        <v>94</v>
      </c>
      <c r="AT438" s="79" t="s">
        <v>39</v>
      </c>
      <c r="AU438" s="79" t="s">
        <v>41</v>
      </c>
      <c r="AY438" s="73" t="s">
        <v>88</v>
      </c>
      <c r="BK438" s="80">
        <f>SUM(BK439:BK442)</f>
        <v>0</v>
      </c>
    </row>
    <row r="439" spans="2:65" s="1" customFormat="1" ht="33" customHeight="1">
      <c r="B439" s="83"/>
      <c r="C439" s="84">
        <v>273</v>
      </c>
      <c r="D439" s="84" t="s">
        <v>90</v>
      </c>
      <c r="E439" s="85" t="s">
        <v>821</v>
      </c>
      <c r="F439" s="86" t="s">
        <v>822</v>
      </c>
      <c r="G439" s="87" t="s">
        <v>135</v>
      </c>
      <c r="H439" s="88">
        <v>390.51</v>
      </c>
      <c r="I439" s="89"/>
      <c r="J439" s="89">
        <f>ROUND(I439*H439,2)</f>
        <v>0</v>
      </c>
      <c r="K439" s="90"/>
      <c r="L439" s="15"/>
      <c r="M439" s="91" t="s">
        <v>0</v>
      </c>
      <c r="N439" s="92" t="s">
        <v>23</v>
      </c>
      <c r="O439" s="93">
        <v>0.19403999999999999</v>
      </c>
      <c r="P439" s="93">
        <f>O439*H439</f>
        <v>75.774560399999999</v>
      </c>
      <c r="Q439" s="93">
        <v>1.13221E-3</v>
      </c>
      <c r="R439" s="93">
        <f>Q439*H439</f>
        <v>0.44213932709999998</v>
      </c>
      <c r="S439" s="93">
        <v>0</v>
      </c>
      <c r="T439" s="94">
        <f>S439*H439</f>
        <v>0</v>
      </c>
      <c r="V439" s="118" t="s">
        <v>949</v>
      </c>
      <c r="AR439" s="95" t="s">
        <v>147</v>
      </c>
      <c r="AT439" s="95" t="s">
        <v>90</v>
      </c>
      <c r="AU439" s="95" t="s">
        <v>94</v>
      </c>
      <c r="AY439" s="7" t="s">
        <v>88</v>
      </c>
      <c r="BE439" s="96">
        <f>IF(N439="základná",J439,0)</f>
        <v>0</v>
      </c>
      <c r="BF439" s="96">
        <f>IF(N439="znížená",J439,0)</f>
        <v>0</v>
      </c>
      <c r="BG439" s="96">
        <f>IF(N439="zákl. prenesená",J439,0)</f>
        <v>0</v>
      </c>
      <c r="BH439" s="96">
        <f>IF(N439="zníž. prenesená",J439,0)</f>
        <v>0</v>
      </c>
      <c r="BI439" s="96">
        <f>IF(N439="nulová",J439,0)</f>
        <v>0</v>
      </c>
      <c r="BJ439" s="7" t="s">
        <v>94</v>
      </c>
      <c r="BK439" s="96">
        <f>ROUND(I439*H439,2)</f>
        <v>0</v>
      </c>
      <c r="BL439" s="7" t="s">
        <v>147</v>
      </c>
      <c r="BM439" s="95" t="s">
        <v>823</v>
      </c>
    </row>
    <row r="440" spans="2:65" s="1" customFormat="1" ht="24.2" customHeight="1">
      <c r="B440" s="83"/>
      <c r="C440" s="84">
        <v>274</v>
      </c>
      <c r="D440" s="84" t="s">
        <v>90</v>
      </c>
      <c r="E440" s="85" t="s">
        <v>824</v>
      </c>
      <c r="F440" s="86" t="s">
        <v>825</v>
      </c>
      <c r="G440" s="87" t="s">
        <v>135</v>
      </c>
      <c r="H440" s="88">
        <v>390.51</v>
      </c>
      <c r="I440" s="89"/>
      <c r="J440" s="89">
        <f>ROUND(I440*H440,2)</f>
        <v>0</v>
      </c>
      <c r="K440" s="90"/>
      <c r="L440" s="15"/>
      <c r="M440" s="91" t="s">
        <v>0</v>
      </c>
      <c r="N440" s="92" t="s">
        <v>23</v>
      </c>
      <c r="O440" s="93">
        <v>0.26529000000000003</v>
      </c>
      <c r="P440" s="93">
        <f>O440*H440</f>
        <v>103.59839790000001</v>
      </c>
      <c r="Q440" s="93">
        <v>1.6184000000000001E-4</v>
      </c>
      <c r="R440" s="93">
        <f>Q440*H440</f>
        <v>6.3200138400000008E-2</v>
      </c>
      <c r="S440" s="93">
        <v>0</v>
      </c>
      <c r="T440" s="94">
        <f>S440*H440</f>
        <v>0</v>
      </c>
      <c r="V440" s="118" t="s">
        <v>949</v>
      </c>
      <c r="AR440" s="95" t="s">
        <v>147</v>
      </c>
      <c r="AT440" s="95" t="s">
        <v>90</v>
      </c>
      <c r="AU440" s="95" t="s">
        <v>94</v>
      </c>
      <c r="AY440" s="7" t="s">
        <v>88</v>
      </c>
      <c r="BE440" s="96">
        <f>IF(N440="základná",J440,0)</f>
        <v>0</v>
      </c>
      <c r="BF440" s="96">
        <f>IF(N440="znížená",J440,0)</f>
        <v>0</v>
      </c>
      <c r="BG440" s="96">
        <f>IF(N440="zákl. prenesená",J440,0)</f>
        <v>0</v>
      </c>
      <c r="BH440" s="96">
        <f>IF(N440="zníž. prenesená",J440,0)</f>
        <v>0</v>
      </c>
      <c r="BI440" s="96">
        <f>IF(N440="nulová",J440,0)</f>
        <v>0</v>
      </c>
      <c r="BJ440" s="7" t="s">
        <v>94</v>
      </c>
      <c r="BK440" s="96">
        <f>ROUND(I440*H440,2)</f>
        <v>0</v>
      </c>
      <c r="BL440" s="7" t="s">
        <v>147</v>
      </c>
      <c r="BM440" s="95" t="s">
        <v>826</v>
      </c>
    </row>
    <row r="441" spans="2:65" s="1" customFormat="1" ht="24.2" customHeight="1">
      <c r="B441" s="83"/>
      <c r="C441" s="84">
        <v>275</v>
      </c>
      <c r="D441" s="84" t="s">
        <v>90</v>
      </c>
      <c r="E441" s="85" t="s">
        <v>827</v>
      </c>
      <c r="F441" s="86" t="s">
        <v>828</v>
      </c>
      <c r="G441" s="87" t="s">
        <v>135</v>
      </c>
      <c r="H441" s="88">
        <v>390.51</v>
      </c>
      <c r="I441" s="89"/>
      <c r="J441" s="89">
        <f>ROUND(I441*H441,2)</f>
        <v>0</v>
      </c>
      <c r="K441" s="90"/>
      <c r="L441" s="15"/>
      <c r="M441" s="91" t="s">
        <v>0</v>
      </c>
      <c r="N441" s="92" t="s">
        <v>23</v>
      </c>
      <c r="O441" s="93">
        <v>0.28438000000000002</v>
      </c>
      <c r="P441" s="93">
        <f>O441*H441</f>
        <v>111.0532338</v>
      </c>
      <c r="Q441" s="93">
        <v>2.0783999999999999E-4</v>
      </c>
      <c r="R441" s="93">
        <f>Q441*H441</f>
        <v>8.1163598399999995E-2</v>
      </c>
      <c r="S441" s="93">
        <v>0</v>
      </c>
      <c r="T441" s="94">
        <f>S441*H441</f>
        <v>0</v>
      </c>
      <c r="V441" s="118" t="s">
        <v>949</v>
      </c>
      <c r="AR441" s="95" t="s">
        <v>147</v>
      </c>
      <c r="AT441" s="95" t="s">
        <v>90</v>
      </c>
      <c r="AU441" s="95" t="s">
        <v>94</v>
      </c>
      <c r="AY441" s="7" t="s">
        <v>88</v>
      </c>
      <c r="BE441" s="96">
        <f>IF(N441="základná",J441,0)</f>
        <v>0</v>
      </c>
      <c r="BF441" s="96">
        <f>IF(N441="znížená",J441,0)</f>
        <v>0</v>
      </c>
      <c r="BG441" s="96">
        <f>IF(N441="zákl. prenesená",J441,0)</f>
        <v>0</v>
      </c>
      <c r="BH441" s="96">
        <f>IF(N441="zníž. prenesená",J441,0)</f>
        <v>0</v>
      </c>
      <c r="BI441" s="96">
        <f>IF(N441="nulová",J441,0)</f>
        <v>0</v>
      </c>
      <c r="BJ441" s="7" t="s">
        <v>94</v>
      </c>
      <c r="BK441" s="96">
        <f>ROUND(I441*H441,2)</f>
        <v>0</v>
      </c>
      <c r="BL441" s="7" t="s">
        <v>147</v>
      </c>
      <c r="BM441" s="95" t="s">
        <v>829</v>
      </c>
    </row>
    <row r="442" spans="2:65" s="1" customFormat="1" ht="37.9" customHeight="1">
      <c r="B442" s="83"/>
      <c r="C442" s="84">
        <v>276</v>
      </c>
      <c r="D442" s="84" t="s">
        <v>90</v>
      </c>
      <c r="E442" s="85" t="s">
        <v>830</v>
      </c>
      <c r="F442" s="86" t="s">
        <v>831</v>
      </c>
      <c r="G442" s="87" t="s">
        <v>135</v>
      </c>
      <c r="H442" s="88">
        <v>550</v>
      </c>
      <c r="I442" s="89"/>
      <c r="J442" s="89">
        <f>ROUND(I442*H442,2)</f>
        <v>0</v>
      </c>
      <c r="K442" s="90"/>
      <c r="L442" s="15"/>
      <c r="M442" s="91" t="s">
        <v>0</v>
      </c>
      <c r="N442" s="92" t="s">
        <v>23</v>
      </c>
      <c r="O442" s="93">
        <v>0.18104000000000001</v>
      </c>
      <c r="P442" s="93">
        <f>O442*H442</f>
        <v>99.572000000000003</v>
      </c>
      <c r="Q442" s="93">
        <v>2.0999999999999999E-5</v>
      </c>
      <c r="R442" s="93">
        <f>Q442*H442</f>
        <v>1.155E-2</v>
      </c>
      <c r="S442" s="93">
        <v>0</v>
      </c>
      <c r="T442" s="94">
        <f>S442*H442</f>
        <v>0</v>
      </c>
      <c r="V442" s="118" t="s">
        <v>949</v>
      </c>
      <c r="AR442" s="95" t="s">
        <v>147</v>
      </c>
      <c r="AT442" s="95" t="s">
        <v>90</v>
      </c>
      <c r="AU442" s="95" t="s">
        <v>94</v>
      </c>
      <c r="AY442" s="7" t="s">
        <v>88</v>
      </c>
      <c r="BE442" s="96">
        <f>IF(N442="základná",J442,0)</f>
        <v>0</v>
      </c>
      <c r="BF442" s="96">
        <f>IF(N442="znížená",J442,0)</f>
        <v>0</v>
      </c>
      <c r="BG442" s="96">
        <f>IF(N442="zákl. prenesená",J442,0)</f>
        <v>0</v>
      </c>
      <c r="BH442" s="96">
        <f>IF(N442="zníž. prenesená",J442,0)</f>
        <v>0</v>
      </c>
      <c r="BI442" s="96">
        <f>IF(N442="nulová",J442,0)</f>
        <v>0</v>
      </c>
      <c r="BJ442" s="7" t="s">
        <v>94</v>
      </c>
      <c r="BK442" s="96">
        <f>ROUND(I442*H442,2)</f>
        <v>0</v>
      </c>
      <c r="BL442" s="7" t="s">
        <v>147</v>
      </c>
      <c r="BM442" s="95" t="s">
        <v>832</v>
      </c>
    </row>
    <row r="443" spans="2:65" s="6" customFormat="1" ht="22.9" customHeight="1">
      <c r="B443" s="72"/>
      <c r="D443" s="73" t="s">
        <v>39</v>
      </c>
      <c r="E443" s="81" t="s">
        <v>833</v>
      </c>
      <c r="F443" s="81" t="s">
        <v>834</v>
      </c>
      <c r="J443" s="82">
        <f>SUM(J444:J448)</f>
        <v>0</v>
      </c>
      <c r="L443" s="72"/>
      <c r="M443" s="76"/>
      <c r="P443" s="77">
        <f>SUM(P444:P448)</f>
        <v>852.18638800000008</v>
      </c>
      <c r="R443" s="77">
        <f>SUM(R444:R448)</f>
        <v>2.6828352754</v>
      </c>
      <c r="T443" s="78">
        <f>SUM(T444:T448)</f>
        <v>1.611192</v>
      </c>
      <c r="AR443" s="73" t="s">
        <v>94</v>
      </c>
      <c r="AT443" s="79" t="s">
        <v>39</v>
      </c>
      <c r="AU443" s="79" t="s">
        <v>41</v>
      </c>
      <c r="AY443" s="73" t="s">
        <v>88</v>
      </c>
      <c r="BK443" s="80">
        <f>SUM(BK444:BK448)</f>
        <v>0</v>
      </c>
    </row>
    <row r="444" spans="2:65" s="1" customFormat="1" ht="24.2" customHeight="1">
      <c r="B444" s="83"/>
      <c r="C444" s="84">
        <v>277</v>
      </c>
      <c r="D444" s="84" t="s">
        <v>90</v>
      </c>
      <c r="E444" s="85" t="s">
        <v>835</v>
      </c>
      <c r="F444" s="86" t="s">
        <v>836</v>
      </c>
      <c r="G444" s="87" t="s">
        <v>135</v>
      </c>
      <c r="H444" s="88">
        <f>1271.33+4099.31</f>
        <v>5370.64</v>
      </c>
      <c r="I444" s="89"/>
      <c r="J444" s="89">
        <f>ROUND(I444*H444,2)</f>
        <v>0</v>
      </c>
      <c r="K444" s="90"/>
      <c r="L444" s="15"/>
      <c r="M444" s="91" t="s">
        <v>0</v>
      </c>
      <c r="N444" s="92" t="s">
        <v>23</v>
      </c>
      <c r="O444" s="93">
        <v>2.5010000000000001E-2</v>
      </c>
      <c r="P444" s="93">
        <f>O444*H444</f>
        <v>134.3197064</v>
      </c>
      <c r="Q444" s="93">
        <v>5.22E-6</v>
      </c>
      <c r="R444" s="93">
        <f>Q444*H444</f>
        <v>2.8034740800000003E-2</v>
      </c>
      <c r="S444" s="93">
        <v>2.9999999999999997E-4</v>
      </c>
      <c r="T444" s="94">
        <f>S444*H444</f>
        <v>1.611192</v>
      </c>
      <c r="V444" s="127" t="s">
        <v>956</v>
      </c>
      <c r="AR444" s="95" t="s">
        <v>147</v>
      </c>
      <c r="AT444" s="95" t="s">
        <v>90</v>
      </c>
      <c r="AU444" s="95" t="s">
        <v>94</v>
      </c>
      <c r="AY444" s="7" t="s">
        <v>88</v>
      </c>
      <c r="BE444" s="96">
        <f>IF(N444="základná",J444,0)</f>
        <v>0</v>
      </c>
      <c r="BF444" s="96">
        <f>IF(N444="znížená",J444,0)</f>
        <v>0</v>
      </c>
      <c r="BG444" s="96">
        <f>IF(N444="zákl. prenesená",J444,0)</f>
        <v>0</v>
      </c>
      <c r="BH444" s="96">
        <f>IF(N444="zníž. prenesená",J444,0)</f>
        <v>0</v>
      </c>
      <c r="BI444" s="96">
        <f>IF(N444="nulová",J444,0)</f>
        <v>0</v>
      </c>
      <c r="BJ444" s="7" t="s">
        <v>94</v>
      </c>
      <c r="BK444" s="96">
        <f>ROUND(I444*H444,2)</f>
        <v>0</v>
      </c>
      <c r="BL444" s="7" t="s">
        <v>147</v>
      </c>
      <c r="BM444" s="95" t="s">
        <v>837</v>
      </c>
    </row>
    <row r="445" spans="2:65" s="1" customFormat="1" ht="24.2" customHeight="1">
      <c r="B445" s="83"/>
      <c r="C445" s="84">
        <v>278</v>
      </c>
      <c r="D445" s="84" t="s">
        <v>90</v>
      </c>
      <c r="E445" s="85" t="s">
        <v>838</v>
      </c>
      <c r="F445" s="86" t="s">
        <v>839</v>
      </c>
      <c r="G445" s="87" t="s">
        <v>135</v>
      </c>
      <c r="H445" s="88">
        <f>1271.33+4099.31</f>
        <v>5370.64</v>
      </c>
      <c r="I445" s="89"/>
      <c r="J445" s="89">
        <f>ROUND(I445*H445,2)</f>
        <v>0</v>
      </c>
      <c r="K445" s="90"/>
      <c r="L445" s="15"/>
      <c r="M445" s="91" t="s">
        <v>0</v>
      </c>
      <c r="N445" s="92" t="s">
        <v>23</v>
      </c>
      <c r="O445" s="93">
        <v>3.023E-2</v>
      </c>
      <c r="P445" s="93">
        <f>O445*H445</f>
        <v>162.35444720000001</v>
      </c>
      <c r="Q445" s="93">
        <v>1.2750000000000001E-4</v>
      </c>
      <c r="R445" s="93">
        <f>Q445*H445</f>
        <v>0.68475660000000005</v>
      </c>
      <c r="S445" s="93">
        <v>0</v>
      </c>
      <c r="T445" s="94">
        <f>S445*H445</f>
        <v>0</v>
      </c>
      <c r="V445" s="127" t="s">
        <v>956</v>
      </c>
      <c r="AR445" s="95" t="s">
        <v>147</v>
      </c>
      <c r="AT445" s="95" t="s">
        <v>90</v>
      </c>
      <c r="AU445" s="95" t="s">
        <v>94</v>
      </c>
      <c r="AY445" s="7" t="s">
        <v>88</v>
      </c>
      <c r="BE445" s="96">
        <f>IF(N445="základná",J445,0)</f>
        <v>0</v>
      </c>
      <c r="BF445" s="96">
        <f>IF(N445="znížená",J445,0)</f>
        <v>0</v>
      </c>
      <c r="BG445" s="96">
        <f>IF(N445="zákl. prenesená",J445,0)</f>
        <v>0</v>
      </c>
      <c r="BH445" s="96">
        <f>IF(N445="zníž. prenesená",J445,0)</f>
        <v>0</v>
      </c>
      <c r="BI445" s="96">
        <f>IF(N445="nulová",J445,0)</f>
        <v>0</v>
      </c>
      <c r="BJ445" s="7" t="s">
        <v>94</v>
      </c>
      <c r="BK445" s="96">
        <f>ROUND(I445*H445,2)</f>
        <v>0</v>
      </c>
      <c r="BL445" s="7" t="s">
        <v>147</v>
      </c>
      <c r="BM445" s="95" t="s">
        <v>840</v>
      </c>
    </row>
    <row r="446" spans="2:65" s="1" customFormat="1" ht="24.2" customHeight="1">
      <c r="B446" s="83"/>
      <c r="C446" s="84">
        <v>279</v>
      </c>
      <c r="D446" s="84" t="s">
        <v>90</v>
      </c>
      <c r="E446" s="85" t="s">
        <v>841</v>
      </c>
      <c r="F446" s="86" t="s">
        <v>842</v>
      </c>
      <c r="G446" s="87" t="s">
        <v>135</v>
      </c>
      <c r="H446" s="88">
        <f>358.6+493.51</f>
        <v>852.11</v>
      </c>
      <c r="I446" s="89"/>
      <c r="J446" s="89">
        <f>ROUND(I446*H446,2)</f>
        <v>0</v>
      </c>
      <c r="K446" s="90"/>
      <c r="L446" s="15"/>
      <c r="M446" s="91" t="s">
        <v>0</v>
      </c>
      <c r="N446" s="92" t="s">
        <v>23</v>
      </c>
      <c r="O446" s="93">
        <v>3.2230000000000002E-2</v>
      </c>
      <c r="P446" s="93">
        <f>O446*H446</f>
        <v>27.463505300000001</v>
      </c>
      <c r="Q446" s="93">
        <v>1.2750000000000001E-4</v>
      </c>
      <c r="R446" s="93">
        <f>Q446*H446</f>
        <v>0.10864402500000001</v>
      </c>
      <c r="S446" s="93">
        <v>0</v>
      </c>
      <c r="T446" s="94">
        <f>S446*H446</f>
        <v>0</v>
      </c>
      <c r="V446" s="120" t="s">
        <v>948</v>
      </c>
      <c r="AR446" s="95" t="s">
        <v>147</v>
      </c>
      <c r="AT446" s="95" t="s">
        <v>90</v>
      </c>
      <c r="AU446" s="95" t="s">
        <v>94</v>
      </c>
      <c r="AY446" s="7" t="s">
        <v>88</v>
      </c>
      <c r="BE446" s="96">
        <f>IF(N446="základná",J446,0)</f>
        <v>0</v>
      </c>
      <c r="BF446" s="96">
        <f>IF(N446="znížená",J446,0)</f>
        <v>0</v>
      </c>
      <c r="BG446" s="96">
        <f>IF(N446="zákl. prenesená",J446,0)</f>
        <v>0</v>
      </c>
      <c r="BH446" s="96">
        <f>IF(N446="zníž. prenesená",J446,0)</f>
        <v>0</v>
      </c>
      <c r="BI446" s="96">
        <f>IF(N446="nulová",J446,0)</f>
        <v>0</v>
      </c>
      <c r="BJ446" s="7" t="s">
        <v>94</v>
      </c>
      <c r="BK446" s="96">
        <f>ROUND(I446*H446,2)</f>
        <v>0</v>
      </c>
      <c r="BL446" s="7" t="s">
        <v>147</v>
      </c>
      <c r="BM446" s="95" t="s">
        <v>843</v>
      </c>
    </row>
    <row r="447" spans="2:65" s="1" customFormat="1" ht="33" customHeight="1">
      <c r="B447" s="83"/>
      <c r="C447" s="84">
        <v>280</v>
      </c>
      <c r="D447" s="84" t="s">
        <v>90</v>
      </c>
      <c r="E447" s="85" t="s">
        <v>844</v>
      </c>
      <c r="F447" s="86" t="s">
        <v>845</v>
      </c>
      <c r="G447" s="87" t="s">
        <v>135</v>
      </c>
      <c r="H447" s="88">
        <f>H446</f>
        <v>852.11</v>
      </c>
      <c r="I447" s="89"/>
      <c r="J447" s="89">
        <f>ROUND(I447*H447,2)</f>
        <v>0</v>
      </c>
      <c r="K447" s="90"/>
      <c r="L447" s="15"/>
      <c r="M447" s="91" t="s">
        <v>0</v>
      </c>
      <c r="N447" s="92" t="s">
        <v>23</v>
      </c>
      <c r="O447" s="93">
        <v>8.0810000000000007E-2</v>
      </c>
      <c r="P447" s="93">
        <f>O447*H447</f>
        <v>68.859009100000009</v>
      </c>
      <c r="Q447" s="93">
        <v>4.4616000000000002E-4</v>
      </c>
      <c r="R447" s="93">
        <f>Q447*H447</f>
        <v>0.38017739760000002</v>
      </c>
      <c r="S447" s="93">
        <v>0</v>
      </c>
      <c r="T447" s="94">
        <f>S447*H447</f>
        <v>0</v>
      </c>
      <c r="V447" s="120" t="s">
        <v>948</v>
      </c>
      <c r="AR447" s="95" t="s">
        <v>147</v>
      </c>
      <c r="AT447" s="95" t="s">
        <v>90</v>
      </c>
      <c r="AU447" s="95" t="s">
        <v>94</v>
      </c>
      <c r="AY447" s="7" t="s">
        <v>88</v>
      </c>
      <c r="BE447" s="96">
        <f>IF(N447="základná",J447,0)</f>
        <v>0</v>
      </c>
      <c r="BF447" s="96">
        <f>IF(N447="znížená",J447,0)</f>
        <v>0</v>
      </c>
      <c r="BG447" s="96">
        <f>IF(N447="zákl. prenesená",J447,0)</f>
        <v>0</v>
      </c>
      <c r="BH447" s="96">
        <f>IF(N447="zníž. prenesená",J447,0)</f>
        <v>0</v>
      </c>
      <c r="BI447" s="96">
        <f>IF(N447="nulová",J447,0)</f>
        <v>0</v>
      </c>
      <c r="BJ447" s="7" t="s">
        <v>94</v>
      </c>
      <c r="BK447" s="96">
        <f>ROUND(I447*H447,2)</f>
        <v>0</v>
      </c>
      <c r="BL447" s="7" t="s">
        <v>147</v>
      </c>
      <c r="BM447" s="95" t="s">
        <v>846</v>
      </c>
    </row>
    <row r="448" spans="2:65" s="1" customFormat="1" ht="33" customHeight="1">
      <c r="B448" s="83"/>
      <c r="C448" s="84">
        <v>281</v>
      </c>
      <c r="D448" s="84" t="s">
        <v>90</v>
      </c>
      <c r="E448" s="85" t="s">
        <v>847</v>
      </c>
      <c r="F448" s="86" t="s">
        <v>848</v>
      </c>
      <c r="G448" s="87" t="s">
        <v>135</v>
      </c>
      <c r="H448" s="88">
        <f>H445</f>
        <v>5370.64</v>
      </c>
      <c r="I448" s="89"/>
      <c r="J448" s="89">
        <f>ROUND(I448*H448,2)</f>
        <v>0</v>
      </c>
      <c r="K448" s="90"/>
      <c r="L448" s="15"/>
      <c r="M448" s="91" t="s">
        <v>0</v>
      </c>
      <c r="N448" s="92" t="s">
        <v>23</v>
      </c>
      <c r="O448" s="93">
        <v>8.5500000000000007E-2</v>
      </c>
      <c r="P448" s="93">
        <f>O448*H448</f>
        <v>459.18972000000008</v>
      </c>
      <c r="Q448" s="93">
        <v>2.7579999999999998E-4</v>
      </c>
      <c r="R448" s="93">
        <f>Q448*H448</f>
        <v>1.481222512</v>
      </c>
      <c r="S448" s="93">
        <v>0</v>
      </c>
      <c r="T448" s="94">
        <f>S448*H448</f>
        <v>0</v>
      </c>
      <c r="V448" s="127" t="s">
        <v>956</v>
      </c>
      <c r="AR448" s="95" t="s">
        <v>147</v>
      </c>
      <c r="AT448" s="95" t="s">
        <v>90</v>
      </c>
      <c r="AU448" s="95" t="s">
        <v>94</v>
      </c>
      <c r="AY448" s="7" t="s">
        <v>88</v>
      </c>
      <c r="BE448" s="96">
        <f>IF(N448="základná",J448,0)</f>
        <v>0</v>
      </c>
      <c r="BF448" s="96">
        <f>IF(N448="znížená",J448,0)</f>
        <v>0</v>
      </c>
      <c r="BG448" s="96">
        <f>IF(N448="zákl. prenesená",J448,0)</f>
        <v>0</v>
      </c>
      <c r="BH448" s="96">
        <f>IF(N448="zníž. prenesená",J448,0)</f>
        <v>0</v>
      </c>
      <c r="BI448" s="96">
        <f>IF(N448="nulová",J448,0)</f>
        <v>0</v>
      </c>
      <c r="BJ448" s="7" t="s">
        <v>94</v>
      </c>
      <c r="BK448" s="96">
        <f>ROUND(I448*H448,2)</f>
        <v>0</v>
      </c>
      <c r="BL448" s="7" t="s">
        <v>147</v>
      </c>
      <c r="BM448" s="95" t="s">
        <v>849</v>
      </c>
    </row>
    <row r="449" spans="2:63" s="6" customFormat="1" ht="25.9" customHeight="1">
      <c r="B449" s="72"/>
      <c r="D449" s="73" t="s">
        <v>39</v>
      </c>
      <c r="E449" s="74" t="s">
        <v>138</v>
      </c>
      <c r="F449" s="74" t="s">
        <v>850</v>
      </c>
      <c r="J449" s="75">
        <f>J450</f>
        <v>0</v>
      </c>
      <c r="L449" s="72"/>
      <c r="M449" s="76"/>
      <c r="P449" s="77" t="e">
        <f>#REF!+#REF!+P450</f>
        <v>#REF!</v>
      </c>
      <c r="R449" s="77" t="e">
        <f>#REF!+#REF!+R450</f>
        <v>#REF!</v>
      </c>
      <c r="T449" s="78" t="e">
        <f>#REF!+#REF!+T450</f>
        <v>#REF!</v>
      </c>
      <c r="AR449" s="73" t="s">
        <v>99</v>
      </c>
      <c r="AT449" s="79" t="s">
        <v>39</v>
      </c>
      <c r="AU449" s="79" t="s">
        <v>40</v>
      </c>
      <c r="AY449" s="73" t="s">
        <v>88</v>
      </c>
      <c r="BK449" s="80" t="e">
        <f>#REF!+#REF!+BK450</f>
        <v>#REF!</v>
      </c>
    </row>
    <row r="450" spans="2:63" s="6" customFormat="1" ht="22.9" customHeight="1">
      <c r="B450" s="72"/>
      <c r="D450" s="73" t="s">
        <v>39</v>
      </c>
      <c r="E450" s="81" t="s">
        <v>892</v>
      </c>
      <c r="F450" s="81" t="s">
        <v>890</v>
      </c>
      <c r="J450" s="82">
        <f>SUM(J451:J456)</f>
        <v>0</v>
      </c>
      <c r="L450" s="72"/>
      <c r="M450" s="76"/>
      <c r="P450" s="77" t="e">
        <f>#REF!</f>
        <v>#REF!</v>
      </c>
      <c r="R450" s="77" t="e">
        <f>#REF!</f>
        <v>#REF!</v>
      </c>
      <c r="T450" s="78" t="e">
        <f>#REF!</f>
        <v>#REF!</v>
      </c>
      <c r="AR450" s="73" t="s">
        <v>99</v>
      </c>
      <c r="AT450" s="79" t="s">
        <v>39</v>
      </c>
      <c r="AU450" s="79" t="s">
        <v>41</v>
      </c>
      <c r="AY450" s="73" t="s">
        <v>88</v>
      </c>
      <c r="BK450" s="80" t="e">
        <f>#REF!</f>
        <v>#REF!</v>
      </c>
    </row>
    <row r="451" spans="2:63" s="6" customFormat="1" ht="19.5" customHeight="1">
      <c r="B451" s="72"/>
      <c r="C451" s="84">
        <v>282</v>
      </c>
      <c r="D451" s="84" t="s">
        <v>90</v>
      </c>
      <c r="E451" s="85" t="s">
        <v>884</v>
      </c>
      <c r="F451" s="86" t="s">
        <v>859</v>
      </c>
      <c r="G451" s="87" t="s">
        <v>891</v>
      </c>
      <c r="H451" s="88">
        <v>1</v>
      </c>
      <c r="I451" s="89"/>
      <c r="J451" s="89">
        <f t="shared" ref="J451:J454" si="200">ROUND(I451*H451,2)</f>
        <v>0</v>
      </c>
      <c r="L451" s="72"/>
      <c r="M451" s="76"/>
      <c r="P451" s="77"/>
      <c r="R451" s="77"/>
      <c r="T451" s="78"/>
      <c r="V451" s="124" t="s">
        <v>952</v>
      </c>
      <c r="AR451" s="73"/>
      <c r="AT451" s="79"/>
      <c r="AU451" s="79"/>
      <c r="AY451" s="73"/>
      <c r="BK451" s="80"/>
    </row>
    <row r="452" spans="2:63" s="6" customFormat="1" ht="19.5" customHeight="1">
      <c r="B452" s="72"/>
      <c r="C452" s="84">
        <v>283</v>
      </c>
      <c r="D452" s="84" t="s">
        <v>90</v>
      </c>
      <c r="E452" s="85" t="s">
        <v>851</v>
      </c>
      <c r="F452" s="86" t="s">
        <v>858</v>
      </c>
      <c r="G452" s="87" t="s">
        <v>891</v>
      </c>
      <c r="H452" s="88">
        <v>1</v>
      </c>
      <c r="I452" s="89"/>
      <c r="J452" s="89">
        <f t="shared" si="200"/>
        <v>0</v>
      </c>
      <c r="L452" s="72"/>
      <c r="M452" s="76"/>
      <c r="P452" s="77"/>
      <c r="R452" s="77"/>
      <c r="T452" s="78"/>
      <c r="V452" s="122" t="s">
        <v>951</v>
      </c>
      <c r="AR452" s="73"/>
      <c r="AT452" s="79"/>
      <c r="AU452" s="79"/>
      <c r="AY452" s="73"/>
      <c r="BK452" s="80"/>
    </row>
    <row r="453" spans="2:63" s="6" customFormat="1" ht="19.5" customHeight="1">
      <c r="B453" s="72"/>
      <c r="C453" s="84">
        <v>284</v>
      </c>
      <c r="D453" s="84" t="s">
        <v>90</v>
      </c>
      <c r="E453" s="85" t="s">
        <v>894</v>
      </c>
      <c r="F453" s="86" t="s">
        <v>857</v>
      </c>
      <c r="G453" s="87" t="s">
        <v>891</v>
      </c>
      <c r="H453" s="88">
        <v>1</v>
      </c>
      <c r="I453" s="89"/>
      <c r="J453" s="89">
        <f t="shared" ref="J453" si="201">ROUND(I453*H453,2)</f>
        <v>0</v>
      </c>
      <c r="L453" s="72"/>
      <c r="M453" s="76"/>
      <c r="P453" s="77"/>
      <c r="R453" s="77"/>
      <c r="T453" s="78"/>
      <c r="V453" s="119" t="s">
        <v>953</v>
      </c>
      <c r="AR453" s="73"/>
      <c r="AT453" s="79"/>
      <c r="AU453" s="79"/>
      <c r="AY453" s="73"/>
      <c r="BK453" s="80"/>
    </row>
    <row r="454" spans="2:63" s="6" customFormat="1" ht="19.5" customHeight="1">
      <c r="B454" s="72"/>
      <c r="C454" s="84">
        <v>285</v>
      </c>
      <c r="D454" s="84" t="s">
        <v>90</v>
      </c>
      <c r="E454" s="85" t="s">
        <v>895</v>
      </c>
      <c r="F454" s="86" t="s">
        <v>861</v>
      </c>
      <c r="G454" s="87" t="s">
        <v>891</v>
      </c>
      <c r="H454" s="88">
        <v>1</v>
      </c>
      <c r="I454" s="110"/>
      <c r="J454" s="89">
        <f t="shared" si="200"/>
        <v>0</v>
      </c>
      <c r="L454" s="72"/>
      <c r="M454" s="76"/>
      <c r="P454" s="77"/>
      <c r="R454" s="77"/>
      <c r="T454" s="78"/>
      <c r="V454" s="120" t="s">
        <v>948</v>
      </c>
      <c r="AR454" s="73"/>
      <c r="AT454" s="79"/>
      <c r="AU454" s="79"/>
      <c r="AY454" s="73"/>
      <c r="BK454" s="80"/>
    </row>
    <row r="455" spans="2:63" s="6" customFormat="1" ht="19.5" customHeight="1">
      <c r="B455" s="72"/>
      <c r="C455" s="84">
        <v>286</v>
      </c>
      <c r="D455" s="84" t="s">
        <v>90</v>
      </c>
      <c r="E455" s="85" t="s">
        <v>896</v>
      </c>
      <c r="F455" s="86" t="s">
        <v>860</v>
      </c>
      <c r="G455" s="87" t="s">
        <v>891</v>
      </c>
      <c r="H455" s="88">
        <v>1</v>
      </c>
      <c r="I455" s="89"/>
      <c r="J455" s="89">
        <f>ROUND(I455*H455,2)</f>
        <v>0</v>
      </c>
      <c r="L455" s="72"/>
      <c r="M455" s="76"/>
      <c r="P455" s="77"/>
      <c r="R455" s="77"/>
      <c r="T455" s="78"/>
      <c r="V455" s="126" t="s">
        <v>954</v>
      </c>
      <c r="AR455" s="73"/>
      <c r="AT455" s="79"/>
      <c r="AU455" s="79"/>
      <c r="AY455" s="73"/>
      <c r="BK455" s="80"/>
    </row>
    <row r="456" spans="2:63" s="6" customFormat="1" ht="19.5" customHeight="1">
      <c r="B456" s="72"/>
      <c r="C456" s="84">
        <v>287</v>
      </c>
      <c r="D456" s="84" t="s">
        <v>90</v>
      </c>
      <c r="E456" s="129" t="s">
        <v>961</v>
      </c>
      <c r="F456" s="108" t="s">
        <v>963</v>
      </c>
      <c r="G456" s="87" t="s">
        <v>891</v>
      </c>
      <c r="H456" s="88">
        <v>1</v>
      </c>
      <c r="I456" s="89"/>
      <c r="J456" s="89">
        <f>ROUND(I456*H456,2)</f>
        <v>0</v>
      </c>
      <c r="L456" s="72"/>
      <c r="M456" s="76"/>
      <c r="P456" s="77"/>
      <c r="R456" s="77"/>
      <c r="T456" s="78"/>
      <c r="V456" s="130" t="s">
        <v>959</v>
      </c>
      <c r="AR456" s="73"/>
      <c r="AT456" s="79"/>
      <c r="AU456" s="79"/>
      <c r="AY456" s="73"/>
      <c r="BK456" s="80"/>
    </row>
    <row r="457" spans="2:63" s="1" customFormat="1" ht="6.95" customHeight="1">
      <c r="B457" s="22"/>
      <c r="C457" s="23"/>
      <c r="D457" s="23"/>
      <c r="E457" s="23"/>
      <c r="F457" s="23"/>
      <c r="G457" s="23"/>
      <c r="H457" s="23"/>
      <c r="I457" s="23"/>
      <c r="J457" s="23"/>
      <c r="K457" s="23"/>
      <c r="L457" s="15"/>
      <c r="V457"/>
    </row>
  </sheetData>
  <autoFilter ref="C140:K456"/>
  <mergeCells count="8">
    <mergeCell ref="E131:H131"/>
    <mergeCell ref="E133:H133"/>
    <mergeCell ref="L2:V2"/>
    <mergeCell ref="E7:H7"/>
    <mergeCell ref="E9:H9"/>
    <mergeCell ref="E27:H27"/>
    <mergeCell ref="E85:H85"/>
    <mergeCell ref="E87:H87"/>
  </mergeCells>
  <pageMargins left="0.39370078740157483" right="0.39370078740157483" top="0.39370078740157483" bottom="0.39370078740157483" header="0" footer="0"/>
  <pageSetup paperSize="9" scale="88" fitToHeight="100" orientation="portrait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ASR</vt:lpstr>
      <vt:lpstr>ASR!Názvy_tlače</vt:lpstr>
      <vt:lpstr>ASR!Oblasť_tlače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2025-04-09T16:19:09Z</cp:lastPrinted>
  <dcterms:created xsi:type="dcterms:W3CDTF">2023-12-04T16:12:32Z</dcterms:created>
  <dcterms:modified xsi:type="dcterms:W3CDTF">2026-07-17T12:30:36Z</dcterms:modified>
</cp:coreProperties>
</file>